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gyesület_V2\2015. évi verseny\"/>
    </mc:Choice>
  </mc:AlternateContent>
  <bookViews>
    <workbookView xWindow="0" yWindow="0" windowWidth="20325" windowHeight="9735" tabRatio="835"/>
  </bookViews>
  <sheets>
    <sheet name="Szenior f" sheetId="5" r:id="rId1"/>
    <sheet name="Szenior f v" sheetId="7" r:id="rId2"/>
    <sheet name="Szenior n" sheetId="6" r:id="rId3"/>
    <sheet name="Felnőtt f" sheetId="9" r:id="rId4"/>
    <sheet name="Felnőtt f v, l." sheetId="8" r:id="rId5"/>
    <sheet name="Felnőtt n" sheetId="10" r:id="rId6"/>
    <sheet name="Felnőtt n v" sheetId="11" r:id="rId7"/>
    <sheet name="Ifi f" sheetId="12" r:id="rId8"/>
    <sheet name="Ifi l" sheetId="13" r:id="rId9"/>
    <sheet name="gyerek f v" sheetId="14" r:id="rId10"/>
    <sheet name="gyerek f" sheetId="16" r:id="rId11"/>
    <sheet name="gyerek l" sheetId="15" r:id="rId12"/>
    <sheet name="gyerek l v" sheetId="17" r:id="rId13"/>
    <sheet name="mini f" sheetId="18" r:id="rId14"/>
    <sheet name="mini l" sheetId="19" r:id="rId15"/>
  </sheets>
  <definedNames>
    <definedName name="_xlnm._FilterDatabase" localSheetId="0" hidden="1">'Szenior f'!$B$1:$F$18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9" l="1"/>
  <c r="J19" i="9"/>
  <c r="I19" i="9"/>
  <c r="H19" i="9"/>
  <c r="K32" i="9"/>
  <c r="J32" i="9"/>
  <c r="I32" i="9"/>
  <c r="G32" i="9" s="1"/>
  <c r="H32" i="9"/>
  <c r="K6" i="9"/>
  <c r="J6" i="9"/>
  <c r="I6" i="9"/>
  <c r="H6" i="9"/>
  <c r="K15" i="9"/>
  <c r="J15" i="9"/>
  <c r="I15" i="9"/>
  <c r="H15" i="9"/>
  <c r="K25" i="9"/>
  <c r="J25" i="9"/>
  <c r="I25" i="9"/>
  <c r="H25" i="9"/>
  <c r="K55" i="9"/>
  <c r="J55" i="9"/>
  <c r="I55" i="9"/>
  <c r="H55" i="9"/>
  <c r="K50" i="9"/>
  <c r="J50" i="9"/>
  <c r="I50" i="9"/>
  <c r="H50" i="9"/>
  <c r="K48" i="9"/>
  <c r="J48" i="9"/>
  <c r="I48" i="9"/>
  <c r="H48" i="9"/>
  <c r="K7" i="9"/>
  <c r="J7" i="9"/>
  <c r="I7" i="9"/>
  <c r="H7" i="9"/>
  <c r="K27" i="9"/>
  <c r="J27" i="9"/>
  <c r="I27" i="9"/>
  <c r="H27" i="9"/>
  <c r="K9" i="9"/>
  <c r="J9" i="9"/>
  <c r="I9" i="9"/>
  <c r="H9" i="9"/>
  <c r="K38" i="9"/>
  <c r="J38" i="9"/>
  <c r="I38" i="9"/>
  <c r="H38" i="9"/>
  <c r="K46" i="9"/>
  <c r="J46" i="9"/>
  <c r="I46" i="9"/>
  <c r="H46" i="9"/>
  <c r="K54" i="9"/>
  <c r="J54" i="9"/>
  <c r="I54" i="9"/>
  <c r="H54" i="9"/>
  <c r="K3" i="9"/>
  <c r="J3" i="9"/>
  <c r="I3" i="9"/>
  <c r="H3" i="9"/>
  <c r="K57" i="9"/>
  <c r="J57" i="9"/>
  <c r="I57" i="9"/>
  <c r="H57" i="9"/>
  <c r="K40" i="9"/>
  <c r="J40" i="9"/>
  <c r="I40" i="9"/>
  <c r="H40" i="9"/>
  <c r="K17" i="9"/>
  <c r="J17" i="9"/>
  <c r="I17" i="9"/>
  <c r="H17" i="9"/>
  <c r="K16" i="9"/>
  <c r="J16" i="9"/>
  <c r="I16" i="9"/>
  <c r="H16" i="9"/>
  <c r="K18" i="9"/>
  <c r="J18" i="9"/>
  <c r="I18" i="9"/>
  <c r="H18" i="9"/>
  <c r="K43" i="9"/>
  <c r="J43" i="9"/>
  <c r="I43" i="9"/>
  <c r="H43" i="9"/>
  <c r="K22" i="9"/>
  <c r="J22" i="9"/>
  <c r="I22" i="9"/>
  <c r="H22" i="9"/>
  <c r="K5" i="9"/>
  <c r="J5" i="9"/>
  <c r="I5" i="9"/>
  <c r="H5" i="9"/>
  <c r="K24" i="9"/>
  <c r="J24" i="9"/>
  <c r="I24" i="9"/>
  <c r="H24" i="9"/>
  <c r="K20" i="9"/>
  <c r="J20" i="9"/>
  <c r="I20" i="9"/>
  <c r="H20" i="9"/>
  <c r="K10" i="9"/>
  <c r="J10" i="9"/>
  <c r="I10" i="9"/>
  <c r="H10" i="9"/>
  <c r="K21" i="9"/>
  <c r="J21" i="9"/>
  <c r="I21" i="9"/>
  <c r="H21" i="9"/>
  <c r="K4" i="9"/>
  <c r="J4" i="9"/>
  <c r="I4" i="9"/>
  <c r="H4" i="9"/>
  <c r="K30" i="9"/>
  <c r="J30" i="9"/>
  <c r="I30" i="9"/>
  <c r="H30" i="9"/>
  <c r="K59" i="9"/>
  <c r="J59" i="9"/>
  <c r="I59" i="9"/>
  <c r="H59" i="9"/>
  <c r="I49" i="9"/>
  <c r="K49" i="9"/>
  <c r="J49" i="9"/>
  <c r="H49" i="9"/>
  <c r="K31" i="9"/>
  <c r="J31" i="9"/>
  <c r="I31" i="9"/>
  <c r="H31" i="9"/>
  <c r="K33" i="9"/>
  <c r="J33" i="9"/>
  <c r="I33" i="9"/>
  <c r="H33" i="9"/>
  <c r="K39" i="9"/>
  <c r="J39" i="9"/>
  <c r="I39" i="9"/>
  <c r="H39" i="9"/>
  <c r="K44" i="9"/>
  <c r="J44" i="9"/>
  <c r="I44" i="9"/>
  <c r="H44" i="9"/>
  <c r="K56" i="9"/>
  <c r="J56" i="9"/>
  <c r="I56" i="9"/>
  <c r="H56" i="9"/>
  <c r="K28" i="9"/>
  <c r="J28" i="9"/>
  <c r="I28" i="9"/>
  <c r="H28" i="9"/>
  <c r="K47" i="9"/>
  <c r="J47" i="9"/>
  <c r="I47" i="9"/>
  <c r="H47" i="9"/>
  <c r="K35" i="9"/>
  <c r="J35" i="9"/>
  <c r="I35" i="9"/>
  <c r="H35" i="9"/>
  <c r="K42" i="9"/>
  <c r="J42" i="9"/>
  <c r="I42" i="9"/>
  <c r="H42" i="9"/>
  <c r="K36" i="9"/>
  <c r="J36" i="9"/>
  <c r="I36" i="9"/>
  <c r="H36" i="9"/>
  <c r="L36" i="9" s="1"/>
  <c r="I34" i="9"/>
  <c r="K34" i="9"/>
  <c r="J34" i="9"/>
  <c r="H34" i="9"/>
  <c r="K52" i="9"/>
  <c r="J52" i="9"/>
  <c r="I52" i="9"/>
  <c r="H52" i="9"/>
  <c r="K12" i="9"/>
  <c r="J12" i="9"/>
  <c r="I12" i="9"/>
  <c r="H12" i="9"/>
  <c r="K26" i="9"/>
  <c r="J26" i="9"/>
  <c r="I26" i="9"/>
  <c r="H26" i="9"/>
  <c r="K11" i="9"/>
  <c r="J11" i="9"/>
  <c r="I11" i="9"/>
  <c r="H11" i="9"/>
  <c r="K29" i="9"/>
  <c r="J29" i="9"/>
  <c r="I29" i="9"/>
  <c r="H29" i="9"/>
  <c r="K45" i="9"/>
  <c r="J45" i="9"/>
  <c r="I45" i="9"/>
  <c r="H45" i="9"/>
  <c r="K41" i="9"/>
  <c r="J41" i="9"/>
  <c r="I41" i="9"/>
  <c r="H41" i="9"/>
  <c r="K37" i="9"/>
  <c r="J37" i="9"/>
  <c r="I37" i="9"/>
  <c r="H37" i="9"/>
  <c r="K23" i="9"/>
  <c r="J23" i="9"/>
  <c r="I23" i="9"/>
  <c r="H23" i="9"/>
  <c r="K51" i="9"/>
  <c r="J51" i="9"/>
  <c r="L51" i="9" s="1"/>
  <c r="I51" i="9"/>
  <c r="H51" i="9"/>
  <c r="K2" i="9"/>
  <c r="J2" i="9"/>
  <c r="I2" i="9"/>
  <c r="H2" i="9"/>
  <c r="K13" i="9"/>
  <c r="J13" i="9"/>
  <c r="I13" i="9"/>
  <c r="H13" i="9"/>
  <c r="K8" i="9"/>
  <c r="J8" i="9"/>
  <c r="I8" i="9"/>
  <c r="H8" i="9"/>
  <c r="K14" i="9"/>
  <c r="J14" i="9"/>
  <c r="I14" i="9"/>
  <c r="H14" i="9"/>
  <c r="K58" i="9"/>
  <c r="J58" i="9"/>
  <c r="I58" i="9"/>
  <c r="H58" i="9"/>
  <c r="K53" i="9"/>
  <c r="J53" i="9"/>
  <c r="I53" i="9"/>
  <c r="H53" i="9"/>
  <c r="L2" i="9"/>
  <c r="L33" i="9"/>
  <c r="L11" i="9"/>
  <c r="L21" i="9"/>
  <c r="L12" i="9"/>
  <c r="L10" i="9"/>
  <c r="L13" i="9"/>
  <c r="L31" i="9"/>
  <c r="L42" i="9"/>
  <c r="L52" i="9"/>
  <c r="L58" i="9"/>
  <c r="L53" i="9"/>
  <c r="L56" i="9"/>
  <c r="L6" i="9"/>
  <c r="L46" i="9"/>
  <c r="L57" i="9"/>
  <c r="L40" i="9"/>
  <c r="L54" i="9"/>
  <c r="L22" i="9"/>
  <c r="L24" i="9"/>
  <c r="L45" i="9"/>
  <c r="L59" i="9"/>
  <c r="L49" i="9"/>
  <c r="L30" i="9"/>
  <c r="L4" i="9"/>
  <c r="L32" i="9"/>
  <c r="L15" i="9"/>
  <c r="L19" i="9"/>
  <c r="L25" i="9"/>
  <c r="L17" i="9"/>
  <c r="L16" i="9"/>
  <c r="L43" i="9"/>
  <c r="L37" i="9"/>
  <c r="L18" i="9"/>
  <c r="L23" i="9"/>
  <c r="L35" i="9"/>
  <c r="L44" i="9"/>
  <c r="L47" i="9"/>
  <c r="L28" i="9"/>
  <c r="L34" i="9"/>
  <c r="L20" i="9"/>
  <c r="L5" i="9"/>
  <c r="L50" i="9"/>
  <c r="L27" i="9"/>
  <c r="L7" i="9"/>
  <c r="L48" i="9"/>
  <c r="L55" i="9"/>
  <c r="L9" i="9"/>
  <c r="L39" i="9"/>
  <c r="L8" i="9"/>
  <c r="L29" i="9"/>
  <c r="L38" i="9"/>
  <c r="L14" i="9"/>
  <c r="L41" i="9"/>
  <c r="L26" i="9"/>
  <c r="G2" i="9"/>
  <c r="G33" i="9"/>
  <c r="G11" i="9"/>
  <c r="G21" i="9"/>
  <c r="G12" i="9"/>
  <c r="G10" i="9"/>
  <c r="G13" i="9"/>
  <c r="G31" i="9"/>
  <c r="G42" i="9"/>
  <c r="G52" i="9"/>
  <c r="G58" i="9"/>
  <c r="G53" i="9"/>
  <c r="G56" i="9"/>
  <c r="G6" i="9"/>
  <c r="G46" i="9"/>
  <c r="G57" i="9"/>
  <c r="G40" i="9"/>
  <c r="G54" i="9"/>
  <c r="G22" i="9"/>
  <c r="G24" i="9"/>
  <c r="G45" i="9"/>
  <c r="G59" i="9"/>
  <c r="G49" i="9"/>
  <c r="G30" i="9"/>
  <c r="G4" i="9"/>
  <c r="G15" i="9"/>
  <c r="G19" i="9"/>
  <c r="G25" i="9"/>
  <c r="G17" i="9"/>
  <c r="G16" i="9"/>
  <c r="G43" i="9"/>
  <c r="G37" i="9"/>
  <c r="G18" i="9"/>
  <c r="G51" i="9"/>
  <c r="G35" i="9"/>
  <c r="G44" i="9"/>
  <c r="G47" i="9"/>
  <c r="G28" i="9"/>
  <c r="G34" i="9"/>
  <c r="G20" i="9"/>
  <c r="G5" i="9"/>
  <c r="G50" i="9"/>
  <c r="G27" i="9"/>
  <c r="G7" i="9"/>
  <c r="G48" i="9"/>
  <c r="G55" i="9"/>
  <c r="G9" i="9"/>
  <c r="G39" i="9"/>
  <c r="G8" i="9"/>
  <c r="G29" i="9"/>
  <c r="G38" i="9"/>
  <c r="G14" i="9"/>
  <c r="G41" i="9"/>
  <c r="G26" i="9"/>
  <c r="K16" i="5"/>
  <c r="J16" i="5"/>
  <c r="I16" i="5"/>
  <c r="H16" i="5"/>
  <c r="K15" i="5"/>
  <c r="J15" i="5"/>
  <c r="I15" i="5"/>
  <c r="H15" i="5"/>
  <c r="K4" i="5"/>
  <c r="J4" i="5"/>
  <c r="I4" i="5"/>
  <c r="H4" i="5"/>
  <c r="K8" i="5"/>
  <c r="J8" i="5"/>
  <c r="I8" i="5"/>
  <c r="H8" i="5"/>
  <c r="K11" i="5"/>
  <c r="J11" i="5"/>
  <c r="I11" i="5"/>
  <c r="H11" i="5"/>
  <c r="K5" i="5"/>
  <c r="J5" i="5"/>
  <c r="I5" i="5"/>
  <c r="H5" i="5"/>
  <c r="K14" i="5"/>
  <c r="J14" i="5"/>
  <c r="I14" i="5"/>
  <c r="H14" i="5"/>
  <c r="K7" i="5"/>
  <c r="J7" i="5"/>
  <c r="I7" i="5"/>
  <c r="H7" i="5"/>
  <c r="K13" i="5"/>
  <c r="J13" i="5"/>
  <c r="I13" i="5"/>
  <c r="H13" i="5"/>
  <c r="K12" i="5"/>
  <c r="J12" i="5"/>
  <c r="I12" i="5"/>
  <c r="H12" i="5"/>
  <c r="K3" i="5"/>
  <c r="J3" i="5"/>
  <c r="I3" i="5"/>
  <c r="H3" i="5"/>
  <c r="K6" i="5"/>
  <c r="J6" i="5"/>
  <c r="I6" i="5"/>
  <c r="H6" i="5"/>
  <c r="K10" i="5"/>
  <c r="J10" i="5"/>
  <c r="I10" i="5"/>
  <c r="H10" i="5"/>
  <c r="H9" i="5"/>
  <c r="K9" i="5"/>
  <c r="J9" i="5"/>
  <c r="I9" i="5"/>
  <c r="K17" i="5"/>
  <c r="J17" i="5"/>
  <c r="I17" i="5"/>
  <c r="H17" i="5"/>
  <c r="K2" i="5"/>
  <c r="J2" i="5"/>
  <c r="I2" i="5"/>
  <c r="H2" i="5"/>
  <c r="J18" i="5"/>
  <c r="K18" i="5"/>
  <c r="I18" i="5"/>
  <c r="H18" i="5"/>
  <c r="I3" i="6"/>
  <c r="K3" i="6" s="1"/>
  <c r="J3" i="6"/>
  <c r="H3" i="6"/>
  <c r="G3" i="6"/>
  <c r="J4" i="6"/>
  <c r="I4" i="6"/>
  <c r="H4" i="6"/>
  <c r="G4" i="6"/>
  <c r="K4" i="6"/>
  <c r="J2" i="6"/>
  <c r="I2" i="6"/>
  <c r="H2" i="6"/>
  <c r="G2" i="6"/>
  <c r="F4" i="6"/>
  <c r="G4" i="7"/>
  <c r="G3" i="7"/>
  <c r="G2" i="7"/>
  <c r="G5" i="7"/>
  <c r="K5" i="7"/>
  <c r="J5" i="7"/>
  <c r="I5" i="7"/>
  <c r="H5" i="7"/>
  <c r="K4" i="7"/>
  <c r="J4" i="7"/>
  <c r="I4" i="7"/>
  <c r="H4" i="7"/>
  <c r="L2" i="7"/>
  <c r="K2" i="7"/>
  <c r="J2" i="7"/>
  <c r="I2" i="7"/>
  <c r="H2" i="7"/>
  <c r="K3" i="7"/>
  <c r="J3" i="7"/>
  <c r="I3" i="7"/>
  <c r="H3" i="7"/>
  <c r="K9" i="8"/>
  <c r="J9" i="8"/>
  <c r="I9" i="8"/>
  <c r="H9" i="8"/>
  <c r="L9" i="8" s="1"/>
  <c r="J5" i="11"/>
  <c r="I5" i="11"/>
  <c r="H5" i="11"/>
  <c r="G5" i="11"/>
  <c r="J3" i="11"/>
  <c r="I3" i="11"/>
  <c r="H3" i="11"/>
  <c r="G3" i="11"/>
  <c r="K2" i="8"/>
  <c r="J2" i="8"/>
  <c r="I2" i="8"/>
  <c r="H2" i="8"/>
  <c r="J4" i="11"/>
  <c r="I4" i="11"/>
  <c r="H4" i="11"/>
  <c r="G4" i="11"/>
  <c r="K7" i="8"/>
  <c r="G2" i="11"/>
  <c r="J7" i="8"/>
  <c r="I7" i="8"/>
  <c r="H7" i="8"/>
  <c r="J3" i="8"/>
  <c r="I3" i="8"/>
  <c r="H3" i="8"/>
  <c r="K6" i="8"/>
  <c r="J6" i="8"/>
  <c r="I6" i="8"/>
  <c r="H6" i="8"/>
  <c r="J4" i="13"/>
  <c r="I4" i="13"/>
  <c r="H4" i="13"/>
  <c r="G4" i="13"/>
  <c r="J2" i="13"/>
  <c r="I2" i="13"/>
  <c r="H2" i="13"/>
  <c r="G2" i="13"/>
  <c r="J3" i="13"/>
  <c r="I3" i="13"/>
  <c r="H3" i="13"/>
  <c r="G3" i="13"/>
  <c r="K2" i="13"/>
  <c r="K3" i="13"/>
  <c r="F2" i="13"/>
  <c r="F3" i="13"/>
  <c r="J3" i="14"/>
  <c r="I3" i="14"/>
  <c r="H3" i="14"/>
  <c r="G3" i="14"/>
  <c r="J5" i="14"/>
  <c r="I5" i="14"/>
  <c r="H5" i="14"/>
  <c r="G5" i="14"/>
  <c r="J4" i="14"/>
  <c r="I4" i="14"/>
  <c r="H4" i="14"/>
  <c r="G4" i="14"/>
  <c r="J2" i="17"/>
  <c r="I2" i="17"/>
  <c r="H2" i="17"/>
  <c r="G2" i="17"/>
  <c r="K7" i="15"/>
  <c r="J7" i="15"/>
  <c r="I7" i="15"/>
  <c r="H7" i="15"/>
  <c r="K10" i="15"/>
  <c r="J10" i="15"/>
  <c r="I10" i="15"/>
  <c r="H10" i="15"/>
  <c r="I9" i="15"/>
  <c r="K2" i="15"/>
  <c r="J2" i="15"/>
  <c r="I2" i="15"/>
  <c r="H2" i="15"/>
  <c r="K8" i="15"/>
  <c r="J8" i="15"/>
  <c r="I8" i="15"/>
  <c r="H8" i="15"/>
  <c r="K9" i="15"/>
  <c r="J9" i="15"/>
  <c r="H9" i="15"/>
  <c r="K11" i="15"/>
  <c r="J11" i="15"/>
  <c r="H11" i="15"/>
  <c r="L11" i="15" s="1"/>
  <c r="K5" i="15"/>
  <c r="J5" i="15"/>
  <c r="I5" i="15"/>
  <c r="H5" i="15"/>
  <c r="K3" i="15"/>
  <c r="J3" i="15"/>
  <c r="I3" i="15"/>
  <c r="H3" i="15"/>
  <c r="G3" i="15" s="1"/>
  <c r="K4" i="15"/>
  <c r="J4" i="15"/>
  <c r="I4" i="15"/>
  <c r="H4" i="15"/>
  <c r="K6" i="15"/>
  <c r="J6" i="15"/>
  <c r="I6" i="15"/>
  <c r="H6" i="15"/>
  <c r="G6" i="15" s="1"/>
  <c r="L8" i="15"/>
  <c r="L10" i="15"/>
  <c r="L7" i="15"/>
  <c r="L5" i="15"/>
  <c r="L3" i="15"/>
  <c r="L9" i="15"/>
  <c r="L6" i="15"/>
  <c r="L4" i="15"/>
  <c r="G8" i="15"/>
  <c r="G10" i="15"/>
  <c r="G7" i="15"/>
  <c r="G5" i="15"/>
  <c r="G11" i="15"/>
  <c r="G9" i="15"/>
  <c r="G4" i="15"/>
  <c r="K8" i="18"/>
  <c r="J8" i="18"/>
  <c r="I8" i="18"/>
  <c r="H8" i="18"/>
  <c r="K15" i="10"/>
  <c r="J15" i="10"/>
  <c r="H15" i="10"/>
  <c r="K16" i="10"/>
  <c r="J16" i="10"/>
  <c r="H16" i="10"/>
  <c r="K13" i="10"/>
  <c r="J13" i="10"/>
  <c r="I13" i="10"/>
  <c r="H13" i="10"/>
  <c r="K8" i="10"/>
  <c r="J8" i="10"/>
  <c r="I8" i="10"/>
  <c r="H8" i="10"/>
  <c r="K10" i="10"/>
  <c r="J10" i="10"/>
  <c r="I10" i="10"/>
  <c r="H10" i="10"/>
  <c r="K4" i="10"/>
  <c r="J4" i="10"/>
  <c r="I4" i="10"/>
  <c r="H4" i="10"/>
  <c r="K12" i="10"/>
  <c r="J12" i="10"/>
  <c r="I12" i="10"/>
  <c r="H12" i="10"/>
  <c r="K11" i="10"/>
  <c r="J11" i="10"/>
  <c r="I11" i="10"/>
  <c r="H11" i="10"/>
  <c r="K6" i="10"/>
  <c r="J6" i="10"/>
  <c r="I6" i="10"/>
  <c r="H6" i="10"/>
  <c r="K2" i="10"/>
  <c r="J2" i="10"/>
  <c r="I2" i="10"/>
  <c r="H2" i="10"/>
  <c r="K7" i="10"/>
  <c r="J7" i="10"/>
  <c r="I7" i="10"/>
  <c r="H7" i="10"/>
  <c r="K3" i="10"/>
  <c r="J3" i="10"/>
  <c r="I3" i="10"/>
  <c r="H3" i="10"/>
  <c r="K9" i="10"/>
  <c r="J9" i="10"/>
  <c r="I9" i="10"/>
  <c r="H9" i="10"/>
  <c r="K14" i="10"/>
  <c r="J14" i="10"/>
  <c r="G14" i="10" s="1"/>
  <c r="I14" i="10"/>
  <c r="H14" i="10"/>
  <c r="K5" i="10"/>
  <c r="J5" i="10"/>
  <c r="I5" i="10"/>
  <c r="H5" i="10"/>
  <c r="L3" i="10"/>
  <c r="L15" i="10"/>
  <c r="L4" i="10"/>
  <c r="L12" i="10"/>
  <c r="L16" i="10"/>
  <c r="L8" i="10"/>
  <c r="L13" i="10"/>
  <c r="L9" i="10"/>
  <c r="L14" i="10"/>
  <c r="L5" i="10"/>
  <c r="L7" i="10"/>
  <c r="L11" i="10"/>
  <c r="L6" i="10"/>
  <c r="G3" i="10"/>
  <c r="G15" i="10"/>
  <c r="G4" i="10"/>
  <c r="G12" i="10"/>
  <c r="G16" i="10"/>
  <c r="G8" i="10"/>
  <c r="G13" i="10"/>
  <c r="G10" i="10"/>
  <c r="G9" i="10"/>
  <c r="G7" i="10"/>
  <c r="G11" i="10"/>
  <c r="G6" i="10"/>
  <c r="K8" i="12"/>
  <c r="J8" i="12"/>
  <c r="I8" i="12"/>
  <c r="H8" i="12"/>
  <c r="K6" i="12"/>
  <c r="J6" i="12"/>
  <c r="I6" i="12"/>
  <c r="H6" i="12"/>
  <c r="K4" i="12"/>
  <c r="J4" i="12"/>
  <c r="I4" i="12"/>
  <c r="H4" i="12"/>
  <c r="K7" i="12"/>
  <c r="J7" i="12"/>
  <c r="I7" i="12"/>
  <c r="H7" i="12"/>
  <c r="I2" i="18"/>
  <c r="H2" i="18"/>
  <c r="K6" i="18"/>
  <c r="J6" i="18"/>
  <c r="I6" i="18"/>
  <c r="H6" i="18"/>
  <c r="K4" i="18"/>
  <c r="J4" i="18"/>
  <c r="I4" i="18"/>
  <c r="H4" i="18"/>
  <c r="K2" i="18"/>
  <c r="J2" i="18"/>
  <c r="K13" i="18"/>
  <c r="J13" i="18"/>
  <c r="I13" i="18"/>
  <c r="H13" i="18"/>
  <c r="K9" i="18"/>
  <c r="J9" i="18"/>
  <c r="I9" i="18"/>
  <c r="H9" i="18"/>
  <c r="K11" i="18"/>
  <c r="J11" i="18"/>
  <c r="I11" i="18"/>
  <c r="H11" i="18"/>
  <c r="K14" i="18"/>
  <c r="J14" i="18"/>
  <c r="I14" i="18"/>
  <c r="H14" i="18"/>
  <c r="L15" i="18"/>
  <c r="G15" i="18"/>
  <c r="K15" i="18"/>
  <c r="J15" i="18"/>
  <c r="I15" i="18"/>
  <c r="H15" i="18"/>
  <c r="K7" i="18"/>
  <c r="J7" i="18"/>
  <c r="I7" i="18"/>
  <c r="H7" i="18"/>
  <c r="K12" i="18"/>
  <c r="J12" i="18"/>
  <c r="I12" i="18"/>
  <c r="H12" i="18"/>
  <c r="K3" i="18"/>
  <c r="J3" i="18"/>
  <c r="I3" i="18"/>
  <c r="H3" i="18"/>
  <c r="K5" i="18"/>
  <c r="J5" i="18"/>
  <c r="I5" i="18"/>
  <c r="H5" i="18"/>
  <c r="K16" i="18"/>
  <c r="J16" i="18"/>
  <c r="I16" i="18"/>
  <c r="H16" i="18"/>
  <c r="K10" i="18"/>
  <c r="J10" i="18"/>
  <c r="I10" i="18"/>
  <c r="H10" i="18"/>
  <c r="L3" i="18"/>
  <c r="L11" i="18"/>
  <c r="L10" i="18"/>
  <c r="L13" i="18"/>
  <c r="L8" i="18"/>
  <c r="L12" i="18"/>
  <c r="L7" i="18"/>
  <c r="L5" i="18"/>
  <c r="L4" i="18"/>
  <c r="L14" i="18"/>
  <c r="L16" i="18"/>
  <c r="L2" i="18"/>
  <c r="L9" i="18"/>
  <c r="G3" i="18"/>
  <c r="G11" i="18"/>
  <c r="G10" i="18"/>
  <c r="G13" i="18"/>
  <c r="G8" i="18"/>
  <c r="G12" i="18"/>
  <c r="G7" i="18"/>
  <c r="G5" i="18"/>
  <c r="G4" i="18"/>
  <c r="G14" i="18"/>
  <c r="G16" i="18"/>
  <c r="G2" i="18"/>
  <c r="G9" i="18"/>
  <c r="K5" i="16"/>
  <c r="J5" i="16"/>
  <c r="I5" i="16"/>
  <c r="H5" i="16"/>
  <c r="K19" i="16"/>
  <c r="J19" i="16"/>
  <c r="I19" i="16"/>
  <c r="L19" i="16" s="1"/>
  <c r="H19" i="16"/>
  <c r="K16" i="16"/>
  <c r="J16" i="16"/>
  <c r="I16" i="16"/>
  <c r="H16" i="16"/>
  <c r="K6" i="16"/>
  <c r="J6" i="16"/>
  <c r="I6" i="16"/>
  <c r="H6" i="16"/>
  <c r="K11" i="16"/>
  <c r="J11" i="16"/>
  <c r="I11" i="16"/>
  <c r="H11" i="16"/>
  <c r="G11" i="16" s="1"/>
  <c r="K10" i="16"/>
  <c r="J10" i="16"/>
  <c r="L10" i="16" s="1"/>
  <c r="I10" i="16"/>
  <c r="H10" i="16"/>
  <c r="K14" i="16"/>
  <c r="J14" i="16"/>
  <c r="I14" i="16"/>
  <c r="H14" i="16"/>
  <c r="L14" i="16"/>
  <c r="G14" i="16"/>
  <c r="H4" i="16"/>
  <c r="L4" i="16" s="1"/>
  <c r="K2" i="16"/>
  <c r="J2" i="16"/>
  <c r="L2" i="16" s="1"/>
  <c r="I2" i="16"/>
  <c r="H2" i="16"/>
  <c r="K4" i="16"/>
  <c r="J4" i="16"/>
  <c r="I4" i="16"/>
  <c r="K15" i="16"/>
  <c r="J15" i="16"/>
  <c r="I15" i="16"/>
  <c r="H15" i="16"/>
  <c r="K12" i="16"/>
  <c r="J12" i="16"/>
  <c r="I12" i="16"/>
  <c r="H12" i="16"/>
  <c r="L12" i="16"/>
  <c r="G12" i="16"/>
  <c r="K7" i="16"/>
  <c r="J7" i="16"/>
  <c r="I7" i="16"/>
  <c r="H7" i="16"/>
  <c r="K3" i="16"/>
  <c r="J3" i="16"/>
  <c r="I3" i="16"/>
  <c r="H3" i="16"/>
  <c r="K17" i="16"/>
  <c r="L17" i="16" s="1"/>
  <c r="J17" i="16"/>
  <c r="I17" i="16"/>
  <c r="H17" i="16"/>
  <c r="K18" i="16"/>
  <c r="J18" i="16"/>
  <c r="H18" i="16"/>
  <c r="G18" i="16" s="1"/>
  <c r="L18" i="16"/>
  <c r="J8" i="16"/>
  <c r="K8" i="16"/>
  <c r="I8" i="16"/>
  <c r="H8" i="16"/>
  <c r="G8" i="16" s="1"/>
  <c r="K9" i="16"/>
  <c r="J9" i="16"/>
  <c r="I9" i="16"/>
  <c r="H9" i="16"/>
  <c r="K13" i="16"/>
  <c r="J13" i="16"/>
  <c r="I13" i="16"/>
  <c r="H13" i="16"/>
  <c r="G13" i="16" s="1"/>
  <c r="J2" i="11"/>
  <c r="I2" i="11"/>
  <c r="H2" i="11"/>
  <c r="F2" i="11"/>
  <c r="K5" i="11"/>
  <c r="K4" i="11"/>
  <c r="K2" i="11"/>
  <c r="F5" i="11"/>
  <c r="F4" i="11"/>
  <c r="G4" i="8"/>
  <c r="K4" i="8"/>
  <c r="J4" i="8"/>
  <c r="I4" i="8"/>
  <c r="H4" i="8"/>
  <c r="K5" i="8"/>
  <c r="L5" i="8" s="1"/>
  <c r="J5" i="8"/>
  <c r="I5" i="8"/>
  <c r="G5" i="8" s="1"/>
  <c r="H5" i="8"/>
  <c r="L7" i="8"/>
  <c r="L4" i="8"/>
  <c r="L6" i="8"/>
  <c r="L2" i="8"/>
  <c r="G7" i="8"/>
  <c r="G6" i="8"/>
  <c r="G2" i="8"/>
  <c r="J2" i="14"/>
  <c r="I2" i="14"/>
  <c r="H2" i="14"/>
  <c r="F2" i="14" s="1"/>
  <c r="G2" i="14"/>
  <c r="K2" i="14"/>
  <c r="K5" i="14"/>
  <c r="F5" i="14"/>
  <c r="L16" i="16"/>
  <c r="L7" i="16"/>
  <c r="L6" i="16"/>
  <c r="L5" i="16"/>
  <c r="L15" i="16"/>
  <c r="G2" i="16"/>
  <c r="G16" i="16"/>
  <c r="G3" i="16"/>
  <c r="G7" i="16"/>
  <c r="G9" i="16"/>
  <c r="G10" i="16"/>
  <c r="G6" i="16"/>
  <c r="G5" i="16"/>
  <c r="G15" i="16"/>
  <c r="G19" i="16"/>
  <c r="K3" i="19"/>
  <c r="I3" i="19"/>
  <c r="H3" i="19"/>
  <c r="G3" i="19"/>
  <c r="K2" i="19"/>
  <c r="J2" i="19"/>
  <c r="I2" i="19"/>
  <c r="H2" i="19"/>
  <c r="G2" i="19"/>
  <c r="H2" i="12"/>
  <c r="K2" i="12"/>
  <c r="J2" i="12"/>
  <c r="I2" i="12"/>
  <c r="K5" i="12"/>
  <c r="J5" i="12"/>
  <c r="I5" i="12"/>
  <c r="H5" i="12"/>
  <c r="K3" i="12"/>
  <c r="J3" i="12"/>
  <c r="I3" i="12"/>
  <c r="H3" i="12"/>
  <c r="L3" i="12" s="1"/>
  <c r="L5" i="12"/>
  <c r="G5" i="12"/>
  <c r="L4" i="12"/>
  <c r="L7" i="12"/>
  <c r="L2" i="12"/>
  <c r="L8" i="12"/>
  <c r="G4" i="12"/>
  <c r="G7" i="12"/>
  <c r="G2" i="12"/>
  <c r="G8" i="12"/>
  <c r="L6" i="18"/>
  <c r="G6" i="18"/>
  <c r="K2" i="17"/>
  <c r="F2" i="17"/>
  <c r="L2" i="15"/>
  <c r="G2" i="15"/>
  <c r="L8" i="16"/>
  <c r="K3" i="14"/>
  <c r="F3" i="14"/>
  <c r="K4" i="13"/>
  <c r="F4" i="13"/>
  <c r="L6" i="12"/>
  <c r="G6" i="12"/>
  <c r="K3" i="11"/>
  <c r="F3" i="11"/>
  <c r="L2" i="10"/>
  <c r="G2" i="10"/>
  <c r="L3" i="8"/>
  <c r="G3" i="8"/>
  <c r="L3" i="9"/>
  <c r="G3" i="9"/>
  <c r="K2" i="6"/>
  <c r="F2" i="6"/>
  <c r="L4" i="7"/>
  <c r="L5" i="7"/>
  <c r="L3" i="7"/>
  <c r="L5" i="5"/>
  <c r="L13" i="5"/>
  <c r="L15" i="5"/>
  <c r="L11" i="5"/>
  <c r="L8" i="5"/>
  <c r="L18" i="5"/>
  <c r="L17" i="5"/>
  <c r="L3" i="5"/>
  <c r="L7" i="5"/>
  <c r="L14" i="5"/>
  <c r="L16" i="5"/>
  <c r="L9" i="5"/>
  <c r="L10" i="5"/>
  <c r="L12" i="5"/>
  <c r="L4" i="5"/>
  <c r="L6" i="5"/>
  <c r="G7" i="5"/>
  <c r="G5" i="5"/>
  <c r="G13" i="5"/>
  <c r="G15" i="5"/>
  <c r="G11" i="5"/>
  <c r="G8" i="5"/>
  <c r="G18" i="5"/>
  <c r="G17" i="5"/>
  <c r="G3" i="5"/>
  <c r="G14" i="5"/>
  <c r="G16" i="5"/>
  <c r="G9" i="5"/>
  <c r="G10" i="5"/>
  <c r="G12" i="5"/>
  <c r="G4" i="5"/>
  <c r="G6" i="5"/>
  <c r="G2" i="5"/>
  <c r="L2" i="5"/>
  <c r="G36" i="9" l="1"/>
  <c r="G23" i="9"/>
  <c r="F3" i="6"/>
  <c r="G9" i="8"/>
  <c r="F4" i="14"/>
  <c r="K4" i="14"/>
  <c r="L10" i="10"/>
  <c r="G5" i="10"/>
  <c r="L11" i="16"/>
  <c r="G4" i="16"/>
  <c r="G17" i="16"/>
  <c r="L3" i="16"/>
  <c r="L9" i="16"/>
  <c r="L13" i="16"/>
  <c r="G3" i="12"/>
</calcChain>
</file>

<file path=xl/sharedStrings.xml><?xml version="1.0" encoding="utf-8"?>
<sst xmlns="http://schemas.openxmlformats.org/spreadsheetml/2006/main" count="945" uniqueCount="228">
  <si>
    <t>Pál Sándor</t>
  </si>
  <si>
    <t>Név</t>
  </si>
  <si>
    <t>Honnan</t>
  </si>
  <si>
    <t>senior</t>
  </si>
  <si>
    <t>férfi</t>
  </si>
  <si>
    <t>tradi</t>
  </si>
  <si>
    <t>felnőtt</t>
  </si>
  <si>
    <t xml:space="preserve">Diósdi Kruszán Ijászok </t>
  </si>
  <si>
    <t>Marsi Mihály</t>
  </si>
  <si>
    <t>Marsi Mihályné</t>
  </si>
  <si>
    <t>nő</t>
  </si>
  <si>
    <t>Marsi Márton Örs</t>
  </si>
  <si>
    <t>gyerek</t>
  </si>
  <si>
    <t>fiú</t>
  </si>
  <si>
    <t>ifi</t>
  </si>
  <si>
    <t>Kocsis Dominik Sándor</t>
  </si>
  <si>
    <t>Laczik Lívia</t>
  </si>
  <si>
    <t>Fegyvernek</t>
  </si>
  <si>
    <t>vadászreflex</t>
  </si>
  <si>
    <t>lány</t>
  </si>
  <si>
    <t>mini</t>
  </si>
  <si>
    <t>Tóth Gábor</t>
  </si>
  <si>
    <t>Nagyrédei Zöld Völgy Íjászai</t>
  </si>
  <si>
    <t>Faragó Béla</t>
  </si>
  <si>
    <t>Bene Íjászai Nagyfüged</t>
  </si>
  <si>
    <t>Mossóczy Kristóf</t>
  </si>
  <si>
    <t>Mossóczy Miklós</t>
  </si>
  <si>
    <t>Busa Dominik</t>
  </si>
  <si>
    <t>Busa Sándor</t>
  </si>
  <si>
    <t>Dakó Adrián</t>
  </si>
  <si>
    <t>Gulyás János</t>
  </si>
  <si>
    <t>Tanyi Károly</t>
  </si>
  <si>
    <t>Tanyi Norbert</t>
  </si>
  <si>
    <t>Tisza menti szabad íjász</t>
  </si>
  <si>
    <t>Mezőkövesd szabad íjász</t>
  </si>
  <si>
    <t>Nagyhegyesi Ilona</t>
  </si>
  <si>
    <t>Kovács Gábor</t>
  </si>
  <si>
    <t xml:space="preserve">Hódmezővásárhely </t>
  </si>
  <si>
    <t>Bereczki Zétény</t>
  </si>
  <si>
    <t xml:space="preserve">Karczag </t>
  </si>
  <si>
    <t>Karas Ákos</t>
  </si>
  <si>
    <t>Molnár Édua</t>
  </si>
  <si>
    <t>Vinis Dóra</t>
  </si>
  <si>
    <t>Vinis Máté</t>
  </si>
  <si>
    <t>Ifj. Karas Lajos</t>
  </si>
  <si>
    <t>Németh Márta</t>
  </si>
  <si>
    <t>Karas Lajos</t>
  </si>
  <si>
    <t>Czókoly László</t>
  </si>
  <si>
    <t>Kovács Tibor</t>
  </si>
  <si>
    <t>Csízi Sándor</t>
  </si>
  <si>
    <t>Kovács Imre</t>
  </si>
  <si>
    <t>Molnár Ferenc Karaul</t>
  </si>
  <si>
    <t>Kónyáné Török Erzsébet</t>
  </si>
  <si>
    <t>Pozsárné Petrovics Laura</t>
  </si>
  <si>
    <t>Pozsár Tamás</t>
  </si>
  <si>
    <t>Pusztamonostor</t>
  </si>
  <si>
    <t>Martfű</t>
  </si>
  <si>
    <t xml:space="preserve">Szabó András </t>
  </si>
  <si>
    <t xml:space="preserve">Papp Adrián </t>
  </si>
  <si>
    <t xml:space="preserve">Kónya Flóra  </t>
  </si>
  <si>
    <t xml:space="preserve">Szabó Réka </t>
  </si>
  <si>
    <t>Czene János</t>
  </si>
  <si>
    <t>Törökszentmiklós</t>
  </si>
  <si>
    <t>Csordás Patrik</t>
  </si>
  <si>
    <t>Csordás László</t>
  </si>
  <si>
    <t>Zlatnik Zsuzso</t>
  </si>
  <si>
    <t>Rákosmenti Turul Szittya Íjász</t>
  </si>
  <si>
    <t>Alibi Íjász Klub</t>
  </si>
  <si>
    <t>Zlatnik József</t>
  </si>
  <si>
    <t>Juhász Éva</t>
  </si>
  <si>
    <t>Kaszás Máté</t>
  </si>
  <si>
    <t>Jászberény</t>
  </si>
  <si>
    <t>Zöldi Sándor</t>
  </si>
  <si>
    <t>Vereska Pál</t>
  </si>
  <si>
    <t>Gyarmati Gábor</t>
  </si>
  <si>
    <t>UTC-ISE Szeged</t>
  </si>
  <si>
    <t>Hajdúnánás</t>
  </si>
  <si>
    <t>Bódán Csaba</t>
  </si>
  <si>
    <t>Ferencz Máté</t>
  </si>
  <si>
    <t>Szűcs Gábor</t>
  </si>
  <si>
    <t>Haranginé Simon Tímea</t>
  </si>
  <si>
    <t>Harangi Péter</t>
  </si>
  <si>
    <t>Harangi Zsolt</t>
  </si>
  <si>
    <t>lonbow</t>
  </si>
  <si>
    <t>Paragh Gábor</t>
  </si>
  <si>
    <t>Fülöp István</t>
  </si>
  <si>
    <t>Szabó Szilvia</t>
  </si>
  <si>
    <t>Jákóhalma</t>
  </si>
  <si>
    <t>Molnár Norbert</t>
  </si>
  <si>
    <t>Molnár Nikolett</t>
  </si>
  <si>
    <t>Fődi Péter</t>
  </si>
  <si>
    <t>Fődi Eszter Anna</t>
  </si>
  <si>
    <t>Fődi Petra</t>
  </si>
  <si>
    <t>Bene Judit</t>
  </si>
  <si>
    <t>Besenyszög</t>
  </si>
  <si>
    <t>Zajacz Gábor</t>
  </si>
  <si>
    <t>Hasznos István</t>
  </si>
  <si>
    <t>Héja Zoltán</t>
  </si>
  <si>
    <t>Tóth István (Puritty)</t>
  </si>
  <si>
    <t>Héja Zoltán István</t>
  </si>
  <si>
    <t>Ifj. Lovas Ferenc</t>
  </si>
  <si>
    <t>Lovas Ferenc</t>
  </si>
  <si>
    <t>Cibakháza</t>
  </si>
  <si>
    <t>Kiss István</t>
  </si>
  <si>
    <t>Kovács Balázs</t>
  </si>
  <si>
    <t>Kovács Barbara</t>
  </si>
  <si>
    <t>Rimóczi Zoltán</t>
  </si>
  <si>
    <t>Tríz Tamás</t>
  </si>
  <si>
    <t>Kövesdi Tamás</t>
  </si>
  <si>
    <t>Csomor László</t>
  </si>
  <si>
    <t>Csomorné Tóth Zsuzsanna</t>
  </si>
  <si>
    <t>Csomor Levente</t>
  </si>
  <si>
    <t>Csomor Gergő</t>
  </si>
  <si>
    <t>Rajzinger Ferenc</t>
  </si>
  <si>
    <t>Jászdózsa</t>
  </si>
  <si>
    <t>Kiskunfélegyháza Turul Koppány Ijászai HE</t>
  </si>
  <si>
    <t>Majzik Orsolya</t>
  </si>
  <si>
    <t>Tóth János</t>
  </si>
  <si>
    <t>Lakatos Zsolt</t>
  </si>
  <si>
    <t>Kövér Bálint</t>
  </si>
  <si>
    <t>Kövér Tamás</t>
  </si>
  <si>
    <t>Rusvai László</t>
  </si>
  <si>
    <t>Mozsár Máté</t>
  </si>
  <si>
    <t>Krasnyánszki Roland</t>
  </si>
  <si>
    <t>Birgés János</t>
  </si>
  <si>
    <t>Kondor Lajos</t>
  </si>
  <si>
    <t>Tiszaföldvár</t>
  </si>
  <si>
    <t>Tóthné Kollár Eszter</t>
  </si>
  <si>
    <t>Tóth Mihály</t>
  </si>
  <si>
    <t>Csontos István</t>
  </si>
  <si>
    <t>Szőke György</t>
  </si>
  <si>
    <t>Gyöngyös</t>
  </si>
  <si>
    <t>Polatschek Réka</t>
  </si>
  <si>
    <t>Polatschek Dominik</t>
  </si>
  <si>
    <t>Polatschek Péter</t>
  </si>
  <si>
    <t>Polatschek Zoltán</t>
  </si>
  <si>
    <t xml:space="preserve">Dinnyés Gyula </t>
  </si>
  <si>
    <t>Szeibert Imre</t>
  </si>
  <si>
    <t>Szeibert Nóra</t>
  </si>
  <si>
    <t xml:space="preserve"> Turul Koppány Íjászai HE</t>
  </si>
  <si>
    <t>Méri Péter</t>
  </si>
  <si>
    <t>Hermann András</t>
  </si>
  <si>
    <t xml:space="preserve">Nagyabonyi Íjászok </t>
  </si>
  <si>
    <t xml:space="preserve">Csikány László </t>
  </si>
  <si>
    <t xml:space="preserve">Gelei Norbert </t>
  </si>
  <si>
    <t xml:space="preserve">Kun László </t>
  </si>
  <si>
    <t xml:space="preserve">Molnár Enikő </t>
  </si>
  <si>
    <t xml:space="preserve">Molnár Gábor </t>
  </si>
  <si>
    <t>Nagy Klaudia</t>
  </si>
  <si>
    <t xml:space="preserve">Pászti Vanda </t>
  </si>
  <si>
    <t>Pászti Zoltán</t>
  </si>
  <si>
    <t>Pászti Zsuzsanna</t>
  </si>
  <si>
    <t xml:space="preserve">Tóth Mihály </t>
  </si>
  <si>
    <t xml:space="preserve">Tugyi Hunor </t>
  </si>
  <si>
    <t xml:space="preserve">Tugyi Norbert </t>
  </si>
  <si>
    <t xml:space="preserve">Nagy Péter </t>
  </si>
  <si>
    <t>Albert László</t>
  </si>
  <si>
    <t>Borisov Melitta</t>
  </si>
  <si>
    <t xml:space="preserve">Váczi György </t>
  </si>
  <si>
    <t>Budapest</t>
  </si>
  <si>
    <t>Pataki Gábor</t>
  </si>
  <si>
    <t>Nagyfi Zoltán</t>
  </si>
  <si>
    <t>lencse László</t>
  </si>
  <si>
    <t>Lencse Zoltán</t>
  </si>
  <si>
    <t>Galambos Tibor</t>
  </si>
  <si>
    <t>Fábián Zoltán Csaba</t>
  </si>
  <si>
    <t xml:space="preserve">Szabó Flórián </t>
  </si>
  <si>
    <t>Négyesi Panna</t>
  </si>
  <si>
    <t>Nagy Zsombor</t>
  </si>
  <si>
    <t>Korpás Bence</t>
  </si>
  <si>
    <t>Szász Dániel</t>
  </si>
  <si>
    <t>Németh Doroti Zsaklin</t>
  </si>
  <si>
    <t>Fekete Béla</t>
  </si>
  <si>
    <t>Vass Tibor</t>
  </si>
  <si>
    <t xml:space="preserve">Kiskunfélegyházi Fény párducai </t>
  </si>
  <si>
    <t xml:space="preserve">Vincze Zoltán </t>
  </si>
  <si>
    <t>Szabó Judit</t>
  </si>
  <si>
    <t>Vassné Köteles Anita</t>
  </si>
  <si>
    <t>Csajági Csenge</t>
  </si>
  <si>
    <t>Tóvizi Bence</t>
  </si>
  <si>
    <t>Tóvizi Kristóf</t>
  </si>
  <si>
    <t>Szolnok</t>
  </si>
  <si>
    <t>Csanádi Zsombor</t>
  </si>
  <si>
    <t>Szeged</t>
  </si>
  <si>
    <t>Tasi Levente</t>
  </si>
  <si>
    <t>Diósdi Kruszán Ijászok (Érd)</t>
  </si>
  <si>
    <t>Busa Roland</t>
  </si>
  <si>
    <t>Zoltai Zsolt</t>
  </si>
  <si>
    <t>Kincses Zoltán</t>
  </si>
  <si>
    <t>Gyula</t>
  </si>
  <si>
    <t>Farsang Károly</t>
  </si>
  <si>
    <t>Jászfényszaru</t>
  </si>
  <si>
    <t xml:space="preserve"> Turul Koppány Íjászai HE (Kiskunfélegyháza)</t>
  </si>
  <si>
    <t>Szabó Tamás</t>
  </si>
  <si>
    <t>Sápi Zádor</t>
  </si>
  <si>
    <t>Kenyeres Viktória</t>
  </si>
  <si>
    <t>Makai Renáta</t>
  </si>
  <si>
    <t>Makai Róbert</t>
  </si>
  <si>
    <t>Vigh János</t>
  </si>
  <si>
    <t>Hercegné Takács Ibolya</t>
  </si>
  <si>
    <t>Tajthy Sándor</t>
  </si>
  <si>
    <t>Szántó Ákos</t>
  </si>
  <si>
    <t>Kovács Máté</t>
  </si>
  <si>
    <t>Kunszentmárton</t>
  </si>
  <si>
    <t>Berecki Zsolt</t>
  </si>
  <si>
    <t>ifj Czókoly László</t>
  </si>
  <si>
    <t xml:space="preserve">Majer Attila </t>
  </si>
  <si>
    <t>Penc</t>
  </si>
  <si>
    <t>Eger</t>
  </si>
  <si>
    <t>ifj. Albert László</t>
  </si>
  <si>
    <t>Árva Dénes</t>
  </si>
  <si>
    <t>Hetényegyház</t>
  </si>
  <si>
    <t>Vas Zsolt</t>
  </si>
  <si>
    <t>Vas-Fődi Gabriella</t>
  </si>
  <si>
    <t>Potornai Gábor</t>
  </si>
  <si>
    <t>Tiszafüred</t>
  </si>
  <si>
    <t>Kósik Gábor</t>
  </si>
  <si>
    <t>Egressi András</t>
  </si>
  <si>
    <t>Csábi Nándor</t>
  </si>
  <si>
    <t>Cegléd</t>
  </si>
  <si>
    <t>Tisza menti szabad íjász (Tiszakécske)</t>
  </si>
  <si>
    <t>Kategória</t>
  </si>
  <si>
    <t xml:space="preserve">Nem </t>
  </si>
  <si>
    <t>Típus</t>
  </si>
  <si>
    <t>Pont</t>
  </si>
  <si>
    <t>Lövés</t>
  </si>
  <si>
    <t>Pfeffer Károly</t>
  </si>
  <si>
    <t>Jászberény  Kürt Ijászai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</si>
</sst>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C10" sqref="C10"/>
    </sheetView>
  </sheetViews>
  <sheetFormatPr defaultRowHeight="15" x14ac:dyDescent="0.25"/>
  <cols>
    <col min="1" max="1" width="3" bestFit="1" customWidth="1"/>
    <col min="2" max="2" width="21.85546875" bestFit="1" customWidth="1"/>
    <col min="3" max="3" width="41" bestFit="1" customWidth="1"/>
    <col min="4" max="4" width="9.28515625" bestFit="1" customWidth="1"/>
    <col min="5" max="5" width="4.85546875" bestFit="1" customWidth="1"/>
    <col min="6" max="6" width="12.140625" bestFit="1" customWidth="1"/>
    <col min="8" max="12" width="0" hidden="1" customWidth="1"/>
  </cols>
  <sheetData>
    <row r="1" spans="1:12" x14ac:dyDescent="0.25">
      <c r="B1" s="2" t="s">
        <v>1</v>
      </c>
      <c r="C1" s="2" t="s">
        <v>2</v>
      </c>
      <c r="D1" s="2" t="s">
        <v>221</v>
      </c>
      <c r="E1" s="2" t="s">
        <v>222</v>
      </c>
      <c r="F1" s="2" t="s">
        <v>223</v>
      </c>
      <c r="G1" s="2" t="s">
        <v>224</v>
      </c>
      <c r="H1" s="3">
        <v>10</v>
      </c>
      <c r="I1" s="3">
        <v>8</v>
      </c>
      <c r="J1" s="3">
        <v>5</v>
      </c>
      <c r="K1" s="3">
        <v>0</v>
      </c>
      <c r="L1" s="3" t="s">
        <v>225</v>
      </c>
    </row>
    <row r="2" spans="1:12" x14ac:dyDescent="0.25">
      <c r="A2">
        <v>1</v>
      </c>
      <c r="B2" s="3" t="s">
        <v>0</v>
      </c>
      <c r="C2" s="3" t="s">
        <v>17</v>
      </c>
      <c r="D2" s="3" t="s">
        <v>3</v>
      </c>
      <c r="E2" s="3" t="s">
        <v>4</v>
      </c>
      <c r="F2" s="3" t="s">
        <v>5</v>
      </c>
      <c r="G2" s="3">
        <f t="shared" ref="G2:G18" si="0">+H2*10+I2*8+J2*5</f>
        <v>471</v>
      </c>
      <c r="H2" s="3">
        <f>14+10+11</f>
        <v>35</v>
      </c>
      <c r="I2" s="3">
        <f>3+1+3</f>
        <v>7</v>
      </c>
      <c r="J2" s="3">
        <f>2+6+5</f>
        <v>13</v>
      </c>
      <c r="K2" s="3">
        <f>2+4+2</f>
        <v>8</v>
      </c>
      <c r="L2" s="3">
        <f t="shared" ref="L2:L18" si="1">SUM(H2:K2)</f>
        <v>63</v>
      </c>
    </row>
    <row r="3" spans="1:12" x14ac:dyDescent="0.25">
      <c r="A3">
        <v>2</v>
      </c>
      <c r="B3" s="3" t="s">
        <v>72</v>
      </c>
      <c r="C3" s="3" t="s">
        <v>208</v>
      </c>
      <c r="D3" s="3" t="s">
        <v>3</v>
      </c>
      <c r="E3" s="3" t="s">
        <v>4</v>
      </c>
      <c r="F3" s="3" t="s">
        <v>5</v>
      </c>
      <c r="G3" s="3">
        <f t="shared" si="0"/>
        <v>463</v>
      </c>
      <c r="H3" s="3">
        <f>13+11+12</f>
        <v>36</v>
      </c>
      <c r="I3" s="3">
        <f>2+3+1</f>
        <v>6</v>
      </c>
      <c r="J3" s="3">
        <f>2+3+6</f>
        <v>11</v>
      </c>
      <c r="K3" s="3">
        <f>4+4+1</f>
        <v>9</v>
      </c>
      <c r="L3" s="3">
        <f t="shared" si="1"/>
        <v>62</v>
      </c>
    </row>
    <row r="4" spans="1:12" x14ac:dyDescent="0.25">
      <c r="A4">
        <v>3</v>
      </c>
      <c r="B4" s="3" t="s">
        <v>136</v>
      </c>
      <c r="C4" s="3" t="s">
        <v>192</v>
      </c>
      <c r="D4" s="3" t="s">
        <v>3</v>
      </c>
      <c r="E4" s="3" t="s">
        <v>4</v>
      </c>
      <c r="F4" s="3" t="s">
        <v>5</v>
      </c>
      <c r="G4" s="3">
        <f t="shared" si="0"/>
        <v>457</v>
      </c>
      <c r="H4" s="3">
        <f>11+13+10</f>
        <v>34</v>
      </c>
      <c r="I4" s="3">
        <f>2+4+3</f>
        <v>9</v>
      </c>
      <c r="J4" s="3">
        <f>4+2+3</f>
        <v>9</v>
      </c>
      <c r="K4" s="3">
        <f>4+2+5</f>
        <v>11</v>
      </c>
      <c r="L4" s="3">
        <f t="shared" si="1"/>
        <v>63</v>
      </c>
    </row>
    <row r="5" spans="1:12" x14ac:dyDescent="0.25">
      <c r="A5">
        <v>4</v>
      </c>
      <c r="B5" t="s">
        <v>23</v>
      </c>
      <c r="C5" t="s">
        <v>24</v>
      </c>
      <c r="D5" t="s">
        <v>3</v>
      </c>
      <c r="E5" t="s">
        <v>4</v>
      </c>
      <c r="F5" t="s">
        <v>5</v>
      </c>
      <c r="G5">
        <f t="shared" si="0"/>
        <v>455</v>
      </c>
      <c r="H5">
        <f>13+14+11</f>
        <v>38</v>
      </c>
      <c r="I5">
        <f>1+2+2</f>
        <v>5</v>
      </c>
      <c r="J5">
        <f>2+1+4</f>
        <v>7</v>
      </c>
      <c r="K5">
        <f>5+4+4</f>
        <v>13</v>
      </c>
      <c r="L5">
        <f t="shared" si="1"/>
        <v>63</v>
      </c>
    </row>
    <row r="6" spans="1:12" x14ac:dyDescent="0.25">
      <c r="A6">
        <v>5</v>
      </c>
      <c r="B6" t="s">
        <v>210</v>
      </c>
      <c r="C6" t="s">
        <v>211</v>
      </c>
      <c r="D6" t="s">
        <v>3</v>
      </c>
      <c r="E6" t="s">
        <v>4</v>
      </c>
      <c r="F6" t="s">
        <v>5</v>
      </c>
      <c r="G6">
        <f t="shared" si="0"/>
        <v>447</v>
      </c>
      <c r="H6">
        <f>11+9+11</f>
        <v>31</v>
      </c>
      <c r="I6">
        <f>0+2+2</f>
        <v>4</v>
      </c>
      <c r="J6">
        <f>6+8+7</f>
        <v>21</v>
      </c>
      <c r="K6">
        <f>4+2+1</f>
        <v>7</v>
      </c>
      <c r="L6">
        <f t="shared" si="1"/>
        <v>63</v>
      </c>
    </row>
    <row r="7" spans="1:12" x14ac:dyDescent="0.25">
      <c r="A7">
        <v>6</v>
      </c>
      <c r="B7" t="s">
        <v>95</v>
      </c>
      <c r="C7" t="s">
        <v>94</v>
      </c>
      <c r="D7" t="s">
        <v>3</v>
      </c>
      <c r="E7" t="s">
        <v>4</v>
      </c>
      <c r="F7" t="s">
        <v>5</v>
      </c>
      <c r="G7">
        <f t="shared" si="0"/>
        <v>438</v>
      </c>
      <c r="H7">
        <f>9+13+10</f>
        <v>32</v>
      </c>
      <c r="I7">
        <f>2+1+3</f>
        <v>6</v>
      </c>
      <c r="J7">
        <f>5+5+4</f>
        <v>14</v>
      </c>
      <c r="K7">
        <f>5+2+4</f>
        <v>11</v>
      </c>
      <c r="L7">
        <f t="shared" si="1"/>
        <v>63</v>
      </c>
    </row>
    <row r="8" spans="1:12" x14ac:dyDescent="0.25">
      <c r="A8">
        <v>7</v>
      </c>
      <c r="B8" t="s">
        <v>51</v>
      </c>
      <c r="C8" t="s">
        <v>39</v>
      </c>
      <c r="D8" t="s">
        <v>3</v>
      </c>
      <c r="E8" t="s">
        <v>4</v>
      </c>
      <c r="F8" t="s">
        <v>5</v>
      </c>
      <c r="G8">
        <f t="shared" si="0"/>
        <v>380</v>
      </c>
      <c r="H8">
        <f>13+6+9</f>
        <v>28</v>
      </c>
      <c r="I8">
        <f>1+3+1</f>
        <v>5</v>
      </c>
      <c r="J8">
        <f>3+4+5</f>
        <v>12</v>
      </c>
      <c r="K8">
        <f>4+7+6</f>
        <v>17</v>
      </c>
      <c r="L8">
        <f t="shared" si="1"/>
        <v>62</v>
      </c>
    </row>
    <row r="9" spans="1:12" x14ac:dyDescent="0.25">
      <c r="A9">
        <v>8</v>
      </c>
      <c r="B9" t="s">
        <v>121</v>
      </c>
      <c r="C9" t="s">
        <v>227</v>
      </c>
      <c r="D9" t="s">
        <v>3</v>
      </c>
      <c r="E9" t="s">
        <v>4</v>
      </c>
      <c r="F9" t="s">
        <v>5</v>
      </c>
      <c r="G9">
        <f t="shared" si="0"/>
        <v>374</v>
      </c>
      <c r="H9">
        <f>9+6+9</f>
        <v>24</v>
      </c>
      <c r="I9">
        <f>3+4+1</f>
        <v>8</v>
      </c>
      <c r="J9">
        <f>4+5+5</f>
        <v>14</v>
      </c>
      <c r="K9">
        <f>4+5+5</f>
        <v>14</v>
      </c>
      <c r="L9">
        <f t="shared" si="1"/>
        <v>60</v>
      </c>
    </row>
    <row r="10" spans="1:12" x14ac:dyDescent="0.25">
      <c r="A10">
        <v>9</v>
      </c>
      <c r="B10" t="s">
        <v>172</v>
      </c>
      <c r="C10" t="s">
        <v>227</v>
      </c>
      <c r="D10" t="s">
        <v>3</v>
      </c>
      <c r="E10" t="s">
        <v>4</v>
      </c>
      <c r="F10" t="s">
        <v>5</v>
      </c>
      <c r="G10">
        <f t="shared" si="0"/>
        <v>368</v>
      </c>
      <c r="H10">
        <f>7+6+10</f>
        <v>23</v>
      </c>
      <c r="I10">
        <f>4+3+4</f>
        <v>11</v>
      </c>
      <c r="J10">
        <f>2+4+4</f>
        <v>10</v>
      </c>
      <c r="K10">
        <f>7+7+3</f>
        <v>17</v>
      </c>
      <c r="L10">
        <f t="shared" si="1"/>
        <v>61</v>
      </c>
    </row>
    <row r="11" spans="1:12" x14ac:dyDescent="0.25">
      <c r="A11">
        <v>10</v>
      </c>
      <c r="B11" t="s">
        <v>50</v>
      </c>
      <c r="C11" t="s">
        <v>39</v>
      </c>
      <c r="D11" t="s">
        <v>3</v>
      </c>
      <c r="E11" t="s">
        <v>4</v>
      </c>
      <c r="F11" t="s">
        <v>5</v>
      </c>
      <c r="G11">
        <f t="shared" si="0"/>
        <v>361</v>
      </c>
      <c r="H11">
        <f>8+9+7</f>
        <v>24</v>
      </c>
      <c r="I11">
        <f>3+2+2</f>
        <v>7</v>
      </c>
      <c r="J11">
        <f>5+4+4</f>
        <v>13</v>
      </c>
      <c r="K11">
        <f>5+6+8</f>
        <v>19</v>
      </c>
      <c r="L11">
        <f t="shared" si="1"/>
        <v>63</v>
      </c>
    </row>
    <row r="12" spans="1:12" x14ac:dyDescent="0.25">
      <c r="A12">
        <v>11</v>
      </c>
      <c r="B12" t="s">
        <v>130</v>
      </c>
      <c r="C12" t="s">
        <v>131</v>
      </c>
      <c r="D12" t="s">
        <v>3</v>
      </c>
      <c r="E12" t="s">
        <v>4</v>
      </c>
      <c r="F12" t="s">
        <v>5</v>
      </c>
      <c r="G12">
        <f t="shared" si="0"/>
        <v>326</v>
      </c>
      <c r="H12">
        <f>8+9+7</f>
        <v>24</v>
      </c>
      <c r="I12">
        <f>0+2+0</f>
        <v>2</v>
      </c>
      <c r="J12">
        <f>6+4+4</f>
        <v>14</v>
      </c>
      <c r="K12">
        <f>7+6+9</f>
        <v>22</v>
      </c>
      <c r="L12">
        <f t="shared" si="1"/>
        <v>62</v>
      </c>
    </row>
    <row r="13" spans="1:12" x14ac:dyDescent="0.25">
      <c r="A13">
        <v>12</v>
      </c>
      <c r="B13" t="s">
        <v>21</v>
      </c>
      <c r="C13" t="s">
        <v>22</v>
      </c>
      <c r="D13" t="s">
        <v>3</v>
      </c>
      <c r="E13" t="s">
        <v>4</v>
      </c>
      <c r="F13" t="s">
        <v>5</v>
      </c>
      <c r="G13">
        <f t="shared" si="0"/>
        <v>320</v>
      </c>
      <c r="H13">
        <f>5+7+10</f>
        <v>22</v>
      </c>
      <c r="I13">
        <f>1+3+1</f>
        <v>5</v>
      </c>
      <c r="J13">
        <f>3+4+5</f>
        <v>12</v>
      </c>
      <c r="K13">
        <f>11+7+4</f>
        <v>22</v>
      </c>
      <c r="L13">
        <f t="shared" si="1"/>
        <v>61</v>
      </c>
    </row>
    <row r="14" spans="1:12" x14ac:dyDescent="0.25">
      <c r="A14">
        <v>13</v>
      </c>
      <c r="B14" t="s">
        <v>96</v>
      </c>
      <c r="C14" t="s">
        <v>94</v>
      </c>
      <c r="D14" t="s">
        <v>3</v>
      </c>
      <c r="E14" t="s">
        <v>4</v>
      </c>
      <c r="F14" t="s">
        <v>5</v>
      </c>
      <c r="G14">
        <f t="shared" si="0"/>
        <v>300</v>
      </c>
      <c r="H14">
        <f>4+5+9</f>
        <v>18</v>
      </c>
      <c r="I14">
        <f>1+2+2</f>
        <v>5</v>
      </c>
      <c r="J14">
        <f>6+4+6</f>
        <v>16</v>
      </c>
      <c r="K14">
        <f>9+9+4</f>
        <v>22</v>
      </c>
      <c r="L14">
        <f t="shared" si="1"/>
        <v>61</v>
      </c>
    </row>
    <row r="15" spans="1:12" x14ac:dyDescent="0.25">
      <c r="A15">
        <v>14</v>
      </c>
      <c r="B15" t="s">
        <v>30</v>
      </c>
      <c r="C15" t="s">
        <v>33</v>
      </c>
      <c r="D15" t="s">
        <v>3</v>
      </c>
      <c r="E15" t="s">
        <v>4</v>
      </c>
      <c r="F15" t="s">
        <v>5</v>
      </c>
      <c r="G15">
        <f t="shared" si="0"/>
        <v>289</v>
      </c>
      <c r="H15">
        <f>3+7+5</f>
        <v>15</v>
      </c>
      <c r="I15">
        <f>3+1+4</f>
        <v>8</v>
      </c>
      <c r="J15">
        <f>4+7+4</f>
        <v>15</v>
      </c>
      <c r="K15">
        <f>10+6+8</f>
        <v>24</v>
      </c>
      <c r="L15">
        <f t="shared" si="1"/>
        <v>62</v>
      </c>
    </row>
    <row r="16" spans="1:12" x14ac:dyDescent="0.25">
      <c r="A16">
        <v>15</v>
      </c>
      <c r="B16" t="s">
        <v>113</v>
      </c>
      <c r="C16" t="s">
        <v>114</v>
      </c>
      <c r="D16" t="s">
        <v>3</v>
      </c>
      <c r="E16" t="s">
        <v>4</v>
      </c>
      <c r="F16" t="s">
        <v>5</v>
      </c>
      <c r="G16">
        <f t="shared" si="0"/>
        <v>269</v>
      </c>
      <c r="H16">
        <f>5+6+7</f>
        <v>18</v>
      </c>
      <c r="I16">
        <f>0+0+3</f>
        <v>3</v>
      </c>
      <c r="J16">
        <f>5+7+1</f>
        <v>13</v>
      </c>
      <c r="K16">
        <f>10+7+9</f>
        <v>26</v>
      </c>
      <c r="L16">
        <f t="shared" si="1"/>
        <v>60</v>
      </c>
    </row>
    <row r="17" spans="1:12" x14ac:dyDescent="0.25">
      <c r="A17">
        <v>16</v>
      </c>
      <c r="B17" t="s">
        <v>68</v>
      </c>
      <c r="C17" t="s">
        <v>66</v>
      </c>
      <c r="D17" t="s">
        <v>3</v>
      </c>
      <c r="E17" t="s">
        <v>4</v>
      </c>
      <c r="F17" t="s">
        <v>5</v>
      </c>
      <c r="G17">
        <f t="shared" si="0"/>
        <v>260</v>
      </c>
      <c r="H17">
        <f>3+6+4</f>
        <v>13</v>
      </c>
      <c r="I17">
        <f>4+2+4</f>
        <v>10</v>
      </c>
      <c r="J17">
        <f>4+3+3</f>
        <v>10</v>
      </c>
      <c r="K17">
        <f>9+9+9</f>
        <v>27</v>
      </c>
      <c r="L17">
        <f t="shared" si="1"/>
        <v>60</v>
      </c>
    </row>
    <row r="18" spans="1:12" x14ac:dyDescent="0.25">
      <c r="A18">
        <v>17</v>
      </c>
      <c r="B18" t="s">
        <v>61</v>
      </c>
      <c r="C18" t="s">
        <v>62</v>
      </c>
      <c r="D18" t="s">
        <v>3</v>
      </c>
      <c r="E18" t="s">
        <v>4</v>
      </c>
      <c r="F18" t="s">
        <v>5</v>
      </c>
      <c r="G18">
        <f t="shared" si="0"/>
        <v>204</v>
      </c>
      <c r="H18">
        <f>4+5+3</f>
        <v>12</v>
      </c>
      <c r="I18">
        <f>1+1+1</f>
        <v>3</v>
      </c>
      <c r="J18">
        <f>3+5+3+1</f>
        <v>12</v>
      </c>
      <c r="K18">
        <f>12+9+12</f>
        <v>33</v>
      </c>
      <c r="L18">
        <f t="shared" si="1"/>
        <v>60</v>
      </c>
    </row>
  </sheetData>
  <sortState ref="B2:L18">
    <sortCondition descending="1" ref="G1"/>
  </sortState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E10" sqref="E10"/>
    </sheetView>
  </sheetViews>
  <sheetFormatPr defaultRowHeight="15" x14ac:dyDescent="0.25"/>
  <cols>
    <col min="1" max="1" width="18.28515625" customWidth="1"/>
    <col min="2" max="2" width="30" customWidth="1"/>
    <col min="5" max="5" width="17.42578125" customWidth="1"/>
    <col min="7" max="11" width="0" hidden="1" customWidth="1"/>
  </cols>
  <sheetData>
    <row r="1" spans="1:11" x14ac:dyDescent="0.25">
      <c r="A1" s="2" t="s">
        <v>1</v>
      </c>
      <c r="B1" s="2" t="s">
        <v>2</v>
      </c>
      <c r="C1" s="2" t="s">
        <v>221</v>
      </c>
      <c r="D1" s="2" t="s">
        <v>222</v>
      </c>
      <c r="E1" s="2" t="s">
        <v>223</v>
      </c>
      <c r="F1" s="2" t="s">
        <v>224</v>
      </c>
      <c r="G1" s="3">
        <v>10</v>
      </c>
      <c r="H1" s="3">
        <v>8</v>
      </c>
      <c r="I1" s="3">
        <v>5</v>
      </c>
      <c r="J1" s="3">
        <v>0</v>
      </c>
      <c r="K1" s="3" t="s">
        <v>225</v>
      </c>
    </row>
    <row r="2" spans="1:11" x14ac:dyDescent="0.25">
      <c r="A2" s="3" t="s">
        <v>122</v>
      </c>
      <c r="B2" s="3" t="s">
        <v>102</v>
      </c>
      <c r="C2" s="3" t="s">
        <v>12</v>
      </c>
      <c r="D2" s="3" t="s">
        <v>13</v>
      </c>
      <c r="E2" s="3" t="s">
        <v>18</v>
      </c>
      <c r="F2" s="3">
        <f>+G2*10+H2*8+I2*5</f>
        <v>550</v>
      </c>
      <c r="G2" s="3">
        <f>15+16+14</f>
        <v>45</v>
      </c>
      <c r="H2" s="3">
        <f>4+2+4</f>
        <v>10</v>
      </c>
      <c r="I2" s="3">
        <f>1+1+2</f>
        <v>4</v>
      </c>
      <c r="J2" s="3">
        <f>1+2+1</f>
        <v>4</v>
      </c>
      <c r="K2" s="3">
        <f>SUM(G2:J2)</f>
        <v>63</v>
      </c>
    </row>
    <row r="3" spans="1:11" x14ac:dyDescent="0.25">
      <c r="A3" s="3" t="s">
        <v>11</v>
      </c>
      <c r="B3" s="3" t="s">
        <v>7</v>
      </c>
      <c r="C3" s="3" t="s">
        <v>12</v>
      </c>
      <c r="D3" s="3" t="s">
        <v>13</v>
      </c>
      <c r="E3" s="3" t="s">
        <v>18</v>
      </c>
      <c r="F3" s="3">
        <f>+G3*10+H3*8+I3*5</f>
        <v>526</v>
      </c>
      <c r="G3" s="3">
        <f>15+13+16</f>
        <v>44</v>
      </c>
      <c r="H3" s="3">
        <f>2+4+1</f>
        <v>7</v>
      </c>
      <c r="I3" s="3">
        <f>3+0+3</f>
        <v>6</v>
      </c>
      <c r="J3" s="3">
        <f>1+4+1</f>
        <v>6</v>
      </c>
      <c r="K3" s="3">
        <f>SUM(G3:J3)</f>
        <v>63</v>
      </c>
    </row>
    <row r="4" spans="1:11" x14ac:dyDescent="0.25">
      <c r="A4" s="3" t="s">
        <v>169</v>
      </c>
      <c r="B4" s="3" t="s">
        <v>17</v>
      </c>
      <c r="C4" s="3" t="s">
        <v>12</v>
      </c>
      <c r="D4" s="3" t="s">
        <v>13</v>
      </c>
      <c r="E4" s="3" t="s">
        <v>18</v>
      </c>
      <c r="F4" s="3">
        <f>+G4*10+H4*8+I4*5</f>
        <v>351</v>
      </c>
      <c r="G4" s="3">
        <f>5+7+12</f>
        <v>24</v>
      </c>
      <c r="H4" s="3">
        <f>4+1+2</f>
        <v>7</v>
      </c>
      <c r="I4" s="3">
        <f>2+5+4</f>
        <v>11</v>
      </c>
      <c r="J4" s="3">
        <f>9+8+3</f>
        <v>20</v>
      </c>
      <c r="K4" s="3">
        <f>SUM(G4:J4)</f>
        <v>62</v>
      </c>
    </row>
    <row r="5" spans="1:11" x14ac:dyDescent="0.25">
      <c r="A5" t="s">
        <v>168</v>
      </c>
      <c r="B5" t="s">
        <v>17</v>
      </c>
      <c r="C5" t="s">
        <v>12</v>
      </c>
      <c r="D5" t="s">
        <v>13</v>
      </c>
      <c r="E5" t="s">
        <v>18</v>
      </c>
      <c r="F5">
        <f>+G5*10+H5*8+I5*5</f>
        <v>277</v>
      </c>
      <c r="G5">
        <f>7+6+5</f>
        <v>18</v>
      </c>
      <c r="H5">
        <f>2+0+2</f>
        <v>4</v>
      </c>
      <c r="I5">
        <f>2+5+6</f>
        <v>13</v>
      </c>
      <c r="J5">
        <f>10+9+8</f>
        <v>27</v>
      </c>
      <c r="K5">
        <f>SUM(G5:J5)</f>
        <v>62</v>
      </c>
    </row>
  </sheetData>
  <sortState ref="A2:K5">
    <sortCondition descending="1" ref="F1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C6" sqref="C6"/>
    </sheetView>
  </sheetViews>
  <sheetFormatPr defaultRowHeight="15" x14ac:dyDescent="0.25"/>
  <cols>
    <col min="1" max="1" width="3" bestFit="1" customWidth="1"/>
    <col min="2" max="2" width="16.85546875" bestFit="1" customWidth="1"/>
    <col min="3" max="3" width="34.7109375" customWidth="1"/>
    <col min="8" max="12" width="0" hidden="1" customWidth="1"/>
  </cols>
  <sheetData>
    <row r="1" spans="1:12" s="1" customFormat="1" x14ac:dyDescent="0.25">
      <c r="B1" s="2" t="s">
        <v>1</v>
      </c>
      <c r="C1" s="2" t="s">
        <v>2</v>
      </c>
      <c r="D1" s="2" t="s">
        <v>221</v>
      </c>
      <c r="E1" s="2" t="s">
        <v>222</v>
      </c>
      <c r="F1" s="2" t="s">
        <v>223</v>
      </c>
      <c r="G1" s="2" t="s">
        <v>224</v>
      </c>
      <c r="H1" s="2">
        <v>10</v>
      </c>
      <c r="I1" s="2">
        <v>8</v>
      </c>
      <c r="J1" s="2">
        <v>5</v>
      </c>
      <c r="K1" s="2">
        <v>0</v>
      </c>
      <c r="L1" s="2" t="s">
        <v>225</v>
      </c>
    </row>
    <row r="2" spans="1:12" x14ac:dyDescent="0.25">
      <c r="A2">
        <v>1</v>
      </c>
      <c r="B2" s="3" t="s">
        <v>29</v>
      </c>
      <c r="C2" s="3" t="s">
        <v>33</v>
      </c>
      <c r="D2" s="3" t="s">
        <v>12</v>
      </c>
      <c r="E2" s="3" t="s">
        <v>13</v>
      </c>
      <c r="F2" s="3" t="s">
        <v>5</v>
      </c>
      <c r="G2" s="3">
        <f t="shared" ref="G2:G19" si="0">+H2*10+I2*8+J2*5</f>
        <v>484</v>
      </c>
      <c r="H2" s="3">
        <f>16+13+10</f>
        <v>39</v>
      </c>
      <c r="I2" s="3">
        <f>2+3+3</f>
        <v>8</v>
      </c>
      <c r="J2" s="3">
        <f>1+2+3</f>
        <v>6</v>
      </c>
      <c r="K2" s="3">
        <f>2+3+5</f>
        <v>10</v>
      </c>
      <c r="L2" s="3">
        <f t="shared" ref="L2:L19" si="1">SUM(H2:K2)</f>
        <v>63</v>
      </c>
    </row>
    <row r="3" spans="1:12" x14ac:dyDescent="0.25">
      <c r="A3">
        <v>2</v>
      </c>
      <c r="B3" s="3" t="s">
        <v>193</v>
      </c>
      <c r="C3" s="3" t="s">
        <v>56</v>
      </c>
      <c r="D3" s="3" t="s">
        <v>12</v>
      </c>
      <c r="E3" s="3" t="s">
        <v>13</v>
      </c>
      <c r="F3" s="3" t="s">
        <v>5</v>
      </c>
      <c r="G3" s="3">
        <f t="shared" si="0"/>
        <v>440</v>
      </c>
      <c r="H3" s="3">
        <f>10+11+10</f>
        <v>31</v>
      </c>
      <c r="I3" s="3">
        <f>2+1+2</f>
        <v>5</v>
      </c>
      <c r="J3" s="3">
        <f>5+7+6</f>
        <v>18</v>
      </c>
      <c r="K3" s="3">
        <f>3+2+3</f>
        <v>8</v>
      </c>
      <c r="L3" s="3">
        <f t="shared" si="1"/>
        <v>62</v>
      </c>
    </row>
    <row r="4" spans="1:12" x14ac:dyDescent="0.25">
      <c r="A4">
        <v>3</v>
      </c>
      <c r="B4" s="3" t="s">
        <v>27</v>
      </c>
      <c r="C4" s="3" t="s">
        <v>33</v>
      </c>
      <c r="D4" s="3" t="s">
        <v>12</v>
      </c>
      <c r="E4" s="3" t="s">
        <v>13</v>
      </c>
      <c r="F4" s="3" t="s">
        <v>5</v>
      </c>
      <c r="G4" s="3">
        <f t="shared" si="0"/>
        <v>428</v>
      </c>
      <c r="H4" s="3">
        <f>12+8+11</f>
        <v>31</v>
      </c>
      <c r="I4" s="3">
        <f>2+1+3</f>
        <v>6</v>
      </c>
      <c r="J4" s="3">
        <f>3+7+4</f>
        <v>14</v>
      </c>
      <c r="K4" s="3">
        <f>3+5+3</f>
        <v>11</v>
      </c>
      <c r="L4" s="3">
        <f t="shared" si="1"/>
        <v>62</v>
      </c>
    </row>
    <row r="5" spans="1:12" x14ac:dyDescent="0.25">
      <c r="A5">
        <v>4</v>
      </c>
      <c r="B5" t="s">
        <v>119</v>
      </c>
      <c r="C5" t="s">
        <v>227</v>
      </c>
      <c r="D5" t="s">
        <v>12</v>
      </c>
      <c r="E5" t="s">
        <v>13</v>
      </c>
      <c r="F5" t="s">
        <v>5</v>
      </c>
      <c r="G5">
        <f t="shared" si="0"/>
        <v>394</v>
      </c>
      <c r="H5">
        <f>10+7+10</f>
        <v>27</v>
      </c>
      <c r="I5">
        <f>2+4+2</f>
        <v>8</v>
      </c>
      <c r="J5">
        <f>4+4+4</f>
        <v>12</v>
      </c>
      <c r="K5">
        <f>5+6+5</f>
        <v>16</v>
      </c>
      <c r="L5">
        <f t="shared" si="1"/>
        <v>63</v>
      </c>
    </row>
    <row r="6" spans="1:12" x14ac:dyDescent="0.25">
      <c r="A6">
        <v>5</v>
      </c>
      <c r="B6" t="s">
        <v>161</v>
      </c>
      <c r="C6" t="s">
        <v>114</v>
      </c>
      <c r="D6" t="s">
        <v>12</v>
      </c>
      <c r="E6" t="s">
        <v>13</v>
      </c>
      <c r="F6" t="s">
        <v>5</v>
      </c>
      <c r="G6">
        <f t="shared" si="0"/>
        <v>373</v>
      </c>
      <c r="H6">
        <f>11+9+6</f>
        <v>26</v>
      </c>
      <c r="I6">
        <f>2+2+2</f>
        <v>6</v>
      </c>
      <c r="J6">
        <f>4+2+7</f>
        <v>13</v>
      </c>
      <c r="K6">
        <f>4+8+6</f>
        <v>18</v>
      </c>
      <c r="L6">
        <f t="shared" si="1"/>
        <v>63</v>
      </c>
    </row>
    <row r="7" spans="1:12" x14ac:dyDescent="0.25">
      <c r="A7">
        <v>6</v>
      </c>
      <c r="B7" t="s">
        <v>197</v>
      </c>
      <c r="C7" t="s">
        <v>56</v>
      </c>
      <c r="D7" t="s">
        <v>12</v>
      </c>
      <c r="E7" t="s">
        <v>13</v>
      </c>
      <c r="F7" t="s">
        <v>5</v>
      </c>
      <c r="G7">
        <f t="shared" si="0"/>
        <v>372</v>
      </c>
      <c r="H7">
        <f>12+7+7</f>
        <v>26</v>
      </c>
      <c r="I7">
        <f>2+2+0</f>
        <v>4</v>
      </c>
      <c r="J7">
        <f>4+3+9</f>
        <v>16</v>
      </c>
      <c r="K7">
        <f>3+8+4</f>
        <v>15</v>
      </c>
      <c r="L7">
        <f t="shared" si="1"/>
        <v>61</v>
      </c>
    </row>
    <row r="8" spans="1:12" x14ac:dyDescent="0.25">
      <c r="A8">
        <v>7</v>
      </c>
      <c r="B8" t="s">
        <v>26</v>
      </c>
      <c r="C8" t="s">
        <v>208</v>
      </c>
      <c r="D8" t="s">
        <v>12</v>
      </c>
      <c r="E8" t="s">
        <v>13</v>
      </c>
      <c r="F8" t="s">
        <v>5</v>
      </c>
      <c r="G8">
        <f t="shared" si="0"/>
        <v>357</v>
      </c>
      <c r="H8">
        <f>8+8+5</f>
        <v>21</v>
      </c>
      <c r="I8">
        <f>3+3+3</f>
        <v>9</v>
      </c>
      <c r="J8">
        <f>5+4+5+1</f>
        <v>15</v>
      </c>
      <c r="K8">
        <f>4+5+6</f>
        <v>15</v>
      </c>
      <c r="L8">
        <f t="shared" si="1"/>
        <v>60</v>
      </c>
    </row>
    <row r="9" spans="1:12" x14ac:dyDescent="0.25">
      <c r="A9">
        <v>8</v>
      </c>
      <c r="B9" t="s">
        <v>99</v>
      </c>
      <c r="C9" t="s">
        <v>94</v>
      </c>
      <c r="D9" t="s">
        <v>12</v>
      </c>
      <c r="E9" t="s">
        <v>13</v>
      </c>
      <c r="F9" t="s">
        <v>5</v>
      </c>
      <c r="G9">
        <f t="shared" si="0"/>
        <v>356</v>
      </c>
      <c r="H9">
        <f>8+8+7</f>
        <v>23</v>
      </c>
      <c r="I9">
        <f>2+1+4</f>
        <v>7</v>
      </c>
      <c r="J9">
        <f>6+3+5</f>
        <v>14</v>
      </c>
      <c r="K9">
        <f>5+9+5</f>
        <v>19</v>
      </c>
      <c r="L9">
        <f t="shared" si="1"/>
        <v>63</v>
      </c>
    </row>
    <row r="10" spans="1:12" x14ac:dyDescent="0.25">
      <c r="A10">
        <v>9</v>
      </c>
      <c r="B10" t="s">
        <v>104</v>
      </c>
      <c r="C10" t="s">
        <v>102</v>
      </c>
      <c r="D10" t="s">
        <v>12</v>
      </c>
      <c r="E10" t="s">
        <v>13</v>
      </c>
      <c r="F10" t="s">
        <v>5</v>
      </c>
      <c r="G10">
        <f t="shared" si="0"/>
        <v>340</v>
      </c>
      <c r="H10">
        <f>9+3+9</f>
        <v>21</v>
      </c>
      <c r="I10">
        <f>3+4+3</f>
        <v>10</v>
      </c>
      <c r="J10">
        <f>2+6+2</f>
        <v>10</v>
      </c>
      <c r="K10">
        <f>6+7+7</f>
        <v>20</v>
      </c>
      <c r="L10">
        <f t="shared" si="1"/>
        <v>61</v>
      </c>
    </row>
    <row r="11" spans="1:12" x14ac:dyDescent="0.25">
      <c r="A11">
        <v>10</v>
      </c>
      <c r="B11" t="s">
        <v>100</v>
      </c>
      <c r="C11" t="s">
        <v>115</v>
      </c>
      <c r="D11" t="s">
        <v>12</v>
      </c>
      <c r="E11" t="s">
        <v>13</v>
      </c>
      <c r="F11" t="s">
        <v>5</v>
      </c>
      <c r="G11">
        <f t="shared" si="0"/>
        <v>322</v>
      </c>
      <c r="H11">
        <f>7+6+5</f>
        <v>18</v>
      </c>
      <c r="I11">
        <f>1+1+2</f>
        <v>4</v>
      </c>
      <c r="J11">
        <f>9+6+7</f>
        <v>22</v>
      </c>
      <c r="K11">
        <f>3+7+6</f>
        <v>16</v>
      </c>
      <c r="L11">
        <f t="shared" si="1"/>
        <v>60</v>
      </c>
    </row>
    <row r="12" spans="1:12" x14ac:dyDescent="0.25">
      <c r="A12">
        <v>11</v>
      </c>
      <c r="B12" t="s">
        <v>43</v>
      </c>
      <c r="C12" t="s">
        <v>39</v>
      </c>
      <c r="D12" t="s">
        <v>12</v>
      </c>
      <c r="E12" t="s">
        <v>13</v>
      </c>
      <c r="F12" t="s">
        <v>5</v>
      </c>
      <c r="G12">
        <f t="shared" si="0"/>
        <v>314</v>
      </c>
      <c r="H12">
        <f>10+5+7</f>
        <v>22</v>
      </c>
      <c r="I12">
        <f>1+1+1</f>
        <v>3</v>
      </c>
      <c r="J12">
        <f>4+4+6</f>
        <v>14</v>
      </c>
      <c r="K12">
        <f>6+10+7</f>
        <v>23</v>
      </c>
      <c r="L12">
        <f t="shared" si="1"/>
        <v>62</v>
      </c>
    </row>
    <row r="13" spans="1:12" x14ac:dyDescent="0.25">
      <c r="A13">
        <v>12</v>
      </c>
      <c r="B13" t="s">
        <v>170</v>
      </c>
      <c r="C13" t="s">
        <v>17</v>
      </c>
      <c r="D13" t="s">
        <v>12</v>
      </c>
      <c r="E13" t="s">
        <v>13</v>
      </c>
      <c r="F13" t="s">
        <v>5</v>
      </c>
      <c r="G13">
        <f t="shared" si="0"/>
        <v>308</v>
      </c>
      <c r="H13">
        <f>6+6+6</f>
        <v>18</v>
      </c>
      <c r="I13">
        <f>0+1+5</f>
        <v>6</v>
      </c>
      <c r="J13">
        <f>6+7+3</f>
        <v>16</v>
      </c>
      <c r="K13">
        <f>9+6+7</f>
        <v>22</v>
      </c>
      <c r="L13">
        <f t="shared" si="1"/>
        <v>62</v>
      </c>
    </row>
    <row r="14" spans="1:12" x14ac:dyDescent="0.25">
      <c r="A14">
        <v>13</v>
      </c>
      <c r="B14" t="s">
        <v>201</v>
      </c>
      <c r="C14" t="s">
        <v>203</v>
      </c>
      <c r="D14" t="s">
        <v>12</v>
      </c>
      <c r="E14" t="s">
        <v>13</v>
      </c>
      <c r="F14" t="s">
        <v>5</v>
      </c>
      <c r="G14">
        <f t="shared" si="0"/>
        <v>306</v>
      </c>
      <c r="H14">
        <f>8+6+7</f>
        <v>21</v>
      </c>
      <c r="I14">
        <f>0+0+2</f>
        <v>2</v>
      </c>
      <c r="J14">
        <f>7+6+3</f>
        <v>16</v>
      </c>
      <c r="K14">
        <f>6+8+9</f>
        <v>23</v>
      </c>
      <c r="L14">
        <f t="shared" si="1"/>
        <v>62</v>
      </c>
    </row>
    <row r="15" spans="1:12" x14ac:dyDescent="0.25">
      <c r="A15">
        <v>14</v>
      </c>
      <c r="B15" t="s">
        <v>134</v>
      </c>
      <c r="C15" t="s">
        <v>191</v>
      </c>
      <c r="D15" t="s">
        <v>12</v>
      </c>
      <c r="E15" t="s">
        <v>13</v>
      </c>
      <c r="F15" t="s">
        <v>5</v>
      </c>
      <c r="G15">
        <f t="shared" si="0"/>
        <v>279</v>
      </c>
      <c r="H15">
        <f>10+5+3</f>
        <v>18</v>
      </c>
      <c r="I15">
        <f>0+1+2</f>
        <v>3</v>
      </c>
      <c r="J15">
        <f>4+6+5</f>
        <v>15</v>
      </c>
      <c r="K15">
        <f>6+8+10</f>
        <v>24</v>
      </c>
      <c r="L15">
        <f t="shared" si="1"/>
        <v>60</v>
      </c>
    </row>
    <row r="16" spans="1:12" x14ac:dyDescent="0.25">
      <c r="A16">
        <v>15</v>
      </c>
      <c r="B16" t="s">
        <v>40</v>
      </c>
      <c r="C16" t="s">
        <v>39</v>
      </c>
      <c r="D16" t="s">
        <v>12</v>
      </c>
      <c r="E16" t="s">
        <v>13</v>
      </c>
      <c r="F16" t="s">
        <v>5</v>
      </c>
      <c r="G16">
        <f t="shared" si="0"/>
        <v>234</v>
      </c>
      <c r="H16">
        <f>7+3+3</f>
        <v>13</v>
      </c>
      <c r="I16">
        <f>2+0+1</f>
        <v>3</v>
      </c>
      <c r="J16">
        <f>6+3+7</f>
        <v>16</v>
      </c>
      <c r="K16">
        <f>7+13+8</f>
        <v>28</v>
      </c>
      <c r="L16">
        <f t="shared" si="1"/>
        <v>60</v>
      </c>
    </row>
    <row r="17" spans="1:12" x14ac:dyDescent="0.25">
      <c r="A17">
        <v>16</v>
      </c>
      <c r="B17" t="s">
        <v>179</v>
      </c>
      <c r="C17" t="s">
        <v>181</v>
      </c>
      <c r="D17" t="s">
        <v>12</v>
      </c>
      <c r="E17" t="s">
        <v>13</v>
      </c>
      <c r="F17" t="s">
        <v>5</v>
      </c>
      <c r="G17">
        <f t="shared" si="0"/>
        <v>191</v>
      </c>
      <c r="H17">
        <f>4+2+3</f>
        <v>9</v>
      </c>
      <c r="I17">
        <f>1+0+1</f>
        <v>2</v>
      </c>
      <c r="J17">
        <f>7+6+4</f>
        <v>17</v>
      </c>
      <c r="K17">
        <f>8+12+13</f>
        <v>33</v>
      </c>
      <c r="L17">
        <f t="shared" si="1"/>
        <v>61</v>
      </c>
    </row>
    <row r="18" spans="1:12" x14ac:dyDescent="0.25">
      <c r="A18">
        <v>17</v>
      </c>
      <c r="B18" t="s">
        <v>180</v>
      </c>
      <c r="C18" t="s">
        <v>181</v>
      </c>
      <c r="D18" t="s">
        <v>12</v>
      </c>
      <c r="E18" t="s">
        <v>13</v>
      </c>
      <c r="F18" t="s">
        <v>5</v>
      </c>
      <c r="G18">
        <f t="shared" si="0"/>
        <v>178</v>
      </c>
      <c r="H18">
        <f>3+3+5</f>
        <v>11</v>
      </c>
      <c r="I18">
        <v>1</v>
      </c>
      <c r="J18">
        <f>5+3+4</f>
        <v>12</v>
      </c>
      <c r="K18">
        <f>12+13+11</f>
        <v>36</v>
      </c>
      <c r="L18">
        <f t="shared" si="1"/>
        <v>60</v>
      </c>
    </row>
    <row r="19" spans="1:12" x14ac:dyDescent="0.25">
      <c r="A19">
        <v>18</v>
      </c>
      <c r="B19" t="s">
        <v>217</v>
      </c>
      <c r="C19" t="s">
        <v>219</v>
      </c>
      <c r="D19" t="s">
        <v>12</v>
      </c>
      <c r="E19" t="s">
        <v>13</v>
      </c>
      <c r="F19" t="s">
        <v>5</v>
      </c>
      <c r="G19">
        <f t="shared" si="0"/>
        <v>118</v>
      </c>
      <c r="H19">
        <f>2+4+0</f>
        <v>6</v>
      </c>
      <c r="I19">
        <f>0+1+0</f>
        <v>1</v>
      </c>
      <c r="J19">
        <f>4+3+3</f>
        <v>10</v>
      </c>
      <c r="K19">
        <f>14+12+17</f>
        <v>43</v>
      </c>
      <c r="L19">
        <f t="shared" si="1"/>
        <v>60</v>
      </c>
    </row>
  </sheetData>
  <sortState ref="B2:L19">
    <sortCondition descending="1" ref="G1"/>
  </sortState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C5" sqref="C5"/>
    </sheetView>
  </sheetViews>
  <sheetFormatPr defaultRowHeight="15" x14ac:dyDescent="0.25"/>
  <cols>
    <col min="1" max="1" width="3" bestFit="1" customWidth="1"/>
    <col min="2" max="2" width="21.140625" bestFit="1" customWidth="1"/>
    <col min="3" max="3" width="22.5703125" customWidth="1"/>
    <col min="8" max="12" width="0" hidden="1" customWidth="1"/>
  </cols>
  <sheetData>
    <row r="1" spans="1:12" x14ac:dyDescent="0.25">
      <c r="B1" s="2" t="s">
        <v>1</v>
      </c>
      <c r="C1" s="2" t="s">
        <v>2</v>
      </c>
      <c r="D1" s="2" t="s">
        <v>221</v>
      </c>
      <c r="E1" s="2" t="s">
        <v>222</v>
      </c>
      <c r="F1" s="2" t="s">
        <v>223</v>
      </c>
      <c r="G1" s="2" t="s">
        <v>224</v>
      </c>
      <c r="H1" s="3">
        <v>10</v>
      </c>
      <c r="I1" s="3">
        <v>8</v>
      </c>
      <c r="J1" s="3">
        <v>5</v>
      </c>
      <c r="K1" s="3">
        <v>0</v>
      </c>
      <c r="L1" s="3" t="s">
        <v>225</v>
      </c>
    </row>
    <row r="2" spans="1:12" x14ac:dyDescent="0.25">
      <c r="A2">
        <v>1</v>
      </c>
      <c r="B2" s="3" t="s">
        <v>41</v>
      </c>
      <c r="C2" s="3" t="s">
        <v>39</v>
      </c>
      <c r="D2" s="3" t="s">
        <v>12</v>
      </c>
      <c r="E2" s="3" t="s">
        <v>19</v>
      </c>
      <c r="F2" s="3" t="s">
        <v>5</v>
      </c>
      <c r="G2" s="3">
        <f t="shared" ref="G2:G11" si="0">+H2*10+I2*8+J2*5</f>
        <v>292</v>
      </c>
      <c r="H2" s="3">
        <f>6+5+5</f>
        <v>16</v>
      </c>
      <c r="I2" s="3">
        <f>1+0+3</f>
        <v>4</v>
      </c>
      <c r="J2" s="3">
        <f>5+9+6</f>
        <v>20</v>
      </c>
      <c r="K2" s="3">
        <f>8+6+6</f>
        <v>20</v>
      </c>
      <c r="L2" s="3">
        <f t="shared" ref="L2:L11" si="1">SUM(H2:K2)</f>
        <v>60</v>
      </c>
    </row>
    <row r="3" spans="1:12" x14ac:dyDescent="0.25">
      <c r="A3">
        <v>2</v>
      </c>
      <c r="B3" s="3" t="s">
        <v>196</v>
      </c>
      <c r="C3" s="3" t="s">
        <v>56</v>
      </c>
      <c r="D3" s="3" t="s">
        <v>12</v>
      </c>
      <c r="E3" s="3" t="s">
        <v>19</v>
      </c>
      <c r="F3" s="3" t="s">
        <v>5</v>
      </c>
      <c r="G3" s="3">
        <f t="shared" si="0"/>
        <v>289</v>
      </c>
      <c r="H3" s="3">
        <f>6+7+7</f>
        <v>20</v>
      </c>
      <c r="I3" s="3">
        <f>0+2+1</f>
        <v>3</v>
      </c>
      <c r="J3" s="3">
        <f>5+4+4</f>
        <v>13</v>
      </c>
      <c r="K3" s="3">
        <f>10+8+9</f>
        <v>27</v>
      </c>
      <c r="L3" s="3">
        <f t="shared" si="1"/>
        <v>63</v>
      </c>
    </row>
    <row r="4" spans="1:12" x14ac:dyDescent="0.25">
      <c r="A4">
        <v>3</v>
      </c>
      <c r="B4" s="3" t="s">
        <v>171</v>
      </c>
      <c r="C4" s="3" t="s">
        <v>17</v>
      </c>
      <c r="D4" s="3" t="s">
        <v>12</v>
      </c>
      <c r="E4" s="3" t="s">
        <v>19</v>
      </c>
      <c r="F4" s="3" t="s">
        <v>5</v>
      </c>
      <c r="G4" s="3">
        <f t="shared" si="0"/>
        <v>288</v>
      </c>
      <c r="H4" s="3">
        <f>9+3+6</f>
        <v>18</v>
      </c>
      <c r="I4" s="3">
        <f>0+1+0</f>
        <v>1</v>
      </c>
      <c r="J4" s="3">
        <f>5+7+8</f>
        <v>20</v>
      </c>
      <c r="K4" s="3">
        <f>7+10+7</f>
        <v>24</v>
      </c>
      <c r="L4" s="3">
        <f t="shared" si="1"/>
        <v>63</v>
      </c>
    </row>
    <row r="5" spans="1:12" x14ac:dyDescent="0.25">
      <c r="A5">
        <v>4</v>
      </c>
      <c r="B5" t="s">
        <v>195</v>
      </c>
      <c r="C5" t="s">
        <v>56</v>
      </c>
      <c r="D5" t="s">
        <v>12</v>
      </c>
      <c r="E5" t="s">
        <v>19</v>
      </c>
      <c r="F5" t="s">
        <v>5</v>
      </c>
      <c r="G5">
        <f t="shared" si="0"/>
        <v>247</v>
      </c>
      <c r="H5">
        <f>8+3+3</f>
        <v>14</v>
      </c>
      <c r="I5">
        <f>0+2+2</f>
        <v>4</v>
      </c>
      <c r="J5">
        <f>5+6+4</f>
        <v>15</v>
      </c>
      <c r="K5">
        <f>8+9+12</f>
        <v>29</v>
      </c>
      <c r="L5">
        <f t="shared" si="1"/>
        <v>62</v>
      </c>
    </row>
    <row r="6" spans="1:12" x14ac:dyDescent="0.25">
      <c r="A6">
        <v>5</v>
      </c>
      <c r="B6" t="s">
        <v>149</v>
      </c>
      <c r="C6" t="s">
        <v>142</v>
      </c>
      <c r="D6" t="s">
        <v>12</v>
      </c>
      <c r="E6" t="s">
        <v>19</v>
      </c>
      <c r="F6" t="s">
        <v>5</v>
      </c>
      <c r="G6">
        <f t="shared" si="0"/>
        <v>246</v>
      </c>
      <c r="H6">
        <f>6+5+3</f>
        <v>14</v>
      </c>
      <c r="I6">
        <f>1+0+1</f>
        <v>2</v>
      </c>
      <c r="J6">
        <f>5+10+3</f>
        <v>18</v>
      </c>
      <c r="K6">
        <f>8+5+13</f>
        <v>26</v>
      </c>
      <c r="L6">
        <f t="shared" si="1"/>
        <v>60</v>
      </c>
    </row>
    <row r="7" spans="1:12" x14ac:dyDescent="0.25">
      <c r="A7">
        <v>6</v>
      </c>
      <c r="B7" t="s">
        <v>59</v>
      </c>
      <c r="C7" t="s">
        <v>55</v>
      </c>
      <c r="D7" t="s">
        <v>12</v>
      </c>
      <c r="E7" t="s">
        <v>19</v>
      </c>
      <c r="F7" t="s">
        <v>5</v>
      </c>
      <c r="G7">
        <f t="shared" si="0"/>
        <v>222</v>
      </c>
      <c r="H7">
        <f>6+5+0</f>
        <v>11</v>
      </c>
      <c r="I7">
        <f>2+2+0</f>
        <v>4</v>
      </c>
      <c r="J7">
        <f>4+4+8</f>
        <v>16</v>
      </c>
      <c r="K7">
        <f>8+9+12</f>
        <v>29</v>
      </c>
      <c r="L7">
        <f t="shared" si="1"/>
        <v>60</v>
      </c>
    </row>
    <row r="8" spans="1:12" x14ac:dyDescent="0.25">
      <c r="A8">
        <v>7</v>
      </c>
      <c r="B8" t="s">
        <v>42</v>
      </c>
      <c r="C8" t="s">
        <v>39</v>
      </c>
      <c r="D8" t="s">
        <v>12</v>
      </c>
      <c r="E8" t="s">
        <v>19</v>
      </c>
      <c r="F8" t="s">
        <v>5</v>
      </c>
      <c r="G8">
        <f t="shared" si="0"/>
        <v>217</v>
      </c>
      <c r="H8">
        <f>3+4+4</f>
        <v>11</v>
      </c>
      <c r="I8">
        <f>2+2+0</f>
        <v>4</v>
      </c>
      <c r="J8">
        <f>3+6+6</f>
        <v>15</v>
      </c>
      <c r="K8">
        <f>12+9+10</f>
        <v>31</v>
      </c>
      <c r="L8">
        <f t="shared" si="1"/>
        <v>61</v>
      </c>
    </row>
    <row r="9" spans="1:12" x14ac:dyDescent="0.25">
      <c r="A9">
        <v>8</v>
      </c>
      <c r="B9" t="s">
        <v>92</v>
      </c>
      <c r="C9" t="s">
        <v>87</v>
      </c>
      <c r="D9" t="s">
        <v>12</v>
      </c>
      <c r="E9" t="s">
        <v>19</v>
      </c>
      <c r="F9" t="s">
        <v>5</v>
      </c>
      <c r="G9">
        <f t="shared" si="0"/>
        <v>181</v>
      </c>
      <c r="H9">
        <f>3+1+4</f>
        <v>8</v>
      </c>
      <c r="I9">
        <f>0+1+1</f>
        <v>2</v>
      </c>
      <c r="J9">
        <f>7+8+2</f>
        <v>17</v>
      </c>
      <c r="K9">
        <f>10+10+13</f>
        <v>33</v>
      </c>
      <c r="L9">
        <f t="shared" si="1"/>
        <v>60</v>
      </c>
    </row>
    <row r="10" spans="1:12" x14ac:dyDescent="0.25">
      <c r="A10">
        <v>9</v>
      </c>
      <c r="B10" t="s">
        <v>178</v>
      </c>
      <c r="C10" t="s">
        <v>181</v>
      </c>
      <c r="D10" t="s">
        <v>12</v>
      </c>
      <c r="E10" t="s">
        <v>19</v>
      </c>
      <c r="F10" t="s">
        <v>5</v>
      </c>
      <c r="G10">
        <f t="shared" si="0"/>
        <v>156</v>
      </c>
      <c r="H10">
        <f>1+3+3</f>
        <v>7</v>
      </c>
      <c r="I10">
        <f>0+1+1</f>
        <v>2</v>
      </c>
      <c r="J10">
        <f>4+7+3</f>
        <v>14</v>
      </c>
      <c r="K10">
        <f>15+9+13</f>
        <v>37</v>
      </c>
      <c r="L10">
        <f t="shared" si="1"/>
        <v>60</v>
      </c>
    </row>
    <row r="11" spans="1:12" x14ac:dyDescent="0.25">
      <c r="A11">
        <v>10</v>
      </c>
      <c r="B11" t="s">
        <v>89</v>
      </c>
      <c r="C11" t="s">
        <v>87</v>
      </c>
      <c r="D11" t="s">
        <v>12</v>
      </c>
      <c r="E11" t="s">
        <v>19</v>
      </c>
      <c r="F11" t="s">
        <v>5</v>
      </c>
      <c r="G11">
        <f t="shared" si="0"/>
        <v>120</v>
      </c>
      <c r="H11">
        <f>4+1+2</f>
        <v>7</v>
      </c>
      <c r="I11">
        <v>0</v>
      </c>
      <c r="J11">
        <f>5+4+1</f>
        <v>10</v>
      </c>
      <c r="K11">
        <f>11+15+17</f>
        <v>43</v>
      </c>
      <c r="L11">
        <f t="shared" si="1"/>
        <v>60</v>
      </c>
    </row>
  </sheetData>
  <sortState ref="B2:L11">
    <sortCondition descending="1" ref="G1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G1" sqref="G1:K1048576"/>
    </sheetView>
  </sheetViews>
  <sheetFormatPr defaultRowHeight="15" x14ac:dyDescent="0.25"/>
  <cols>
    <col min="1" max="1" width="14.140625" bestFit="1" customWidth="1"/>
    <col min="2" max="2" width="23.28515625" customWidth="1"/>
    <col min="5" max="5" width="15.85546875" customWidth="1"/>
    <col min="7" max="11" width="0" hidden="1" customWidth="1"/>
  </cols>
  <sheetData>
    <row r="1" spans="1:11" x14ac:dyDescent="0.25">
      <c r="A1" s="1" t="s">
        <v>1</v>
      </c>
      <c r="B1" s="1" t="s">
        <v>2</v>
      </c>
      <c r="C1" s="1" t="s">
        <v>221</v>
      </c>
      <c r="D1" s="1" t="s">
        <v>222</v>
      </c>
      <c r="E1" s="1" t="s">
        <v>223</v>
      </c>
      <c r="F1" s="1" t="s">
        <v>224</v>
      </c>
      <c r="G1">
        <v>10</v>
      </c>
      <c r="H1">
        <v>8</v>
      </c>
      <c r="I1">
        <v>5</v>
      </c>
      <c r="J1">
        <v>0</v>
      </c>
      <c r="K1" t="s">
        <v>225</v>
      </c>
    </row>
    <row r="2" spans="1:11" x14ac:dyDescent="0.25">
      <c r="A2" t="s">
        <v>167</v>
      </c>
      <c r="B2" t="s">
        <v>17</v>
      </c>
      <c r="C2" t="s">
        <v>12</v>
      </c>
      <c r="D2" t="s">
        <v>19</v>
      </c>
      <c r="E2" t="s">
        <v>18</v>
      </c>
      <c r="F2">
        <f>+G2*10+H2*8+I2*5</f>
        <v>295</v>
      </c>
      <c r="G2">
        <f>3+5+9</f>
        <v>17</v>
      </c>
      <c r="H2">
        <f>3+2+0</f>
        <v>5</v>
      </c>
      <c r="I2">
        <f>5+7+5</f>
        <v>17</v>
      </c>
      <c r="J2">
        <f>9+6+7</f>
        <v>22</v>
      </c>
      <c r="K2">
        <f>SUM(G2:J2)</f>
        <v>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C6" sqref="C6"/>
    </sheetView>
  </sheetViews>
  <sheetFormatPr defaultRowHeight="15" x14ac:dyDescent="0.25"/>
  <cols>
    <col min="1" max="1" width="3" bestFit="1" customWidth="1"/>
    <col min="2" max="2" width="19.140625" bestFit="1" customWidth="1"/>
    <col min="3" max="3" width="34.5703125" bestFit="1" customWidth="1"/>
    <col min="8" max="13" width="0" hidden="1" customWidth="1"/>
  </cols>
  <sheetData>
    <row r="1" spans="1:12" x14ac:dyDescent="0.25">
      <c r="B1" s="2" t="s">
        <v>1</v>
      </c>
      <c r="C1" s="2" t="s">
        <v>2</v>
      </c>
      <c r="D1" s="2" t="s">
        <v>221</v>
      </c>
      <c r="E1" s="2" t="s">
        <v>222</v>
      </c>
      <c r="F1" s="2" t="s">
        <v>223</v>
      </c>
      <c r="G1" s="2" t="s">
        <v>224</v>
      </c>
      <c r="H1" s="3">
        <v>10</v>
      </c>
      <c r="I1" s="3">
        <v>8</v>
      </c>
      <c r="J1" s="3">
        <v>5</v>
      </c>
      <c r="K1" s="3">
        <v>0</v>
      </c>
      <c r="L1" s="3" t="s">
        <v>225</v>
      </c>
    </row>
    <row r="2" spans="1:12" x14ac:dyDescent="0.25">
      <c r="A2">
        <v>1</v>
      </c>
      <c r="B2" s="3" t="s">
        <v>182</v>
      </c>
      <c r="C2" s="3" t="s">
        <v>181</v>
      </c>
      <c r="D2" s="3" t="s">
        <v>20</v>
      </c>
      <c r="E2" s="3" t="s">
        <v>13</v>
      </c>
      <c r="F2" s="3" t="s">
        <v>5</v>
      </c>
      <c r="G2" s="3">
        <f t="shared" ref="G2:G16" si="0">+H2*10+I2*8+J2*5</f>
        <v>524</v>
      </c>
      <c r="H2" s="3">
        <f>17+13+14</f>
        <v>44</v>
      </c>
      <c r="I2" s="3">
        <f>0+1+1+1</f>
        <v>3</v>
      </c>
      <c r="J2" s="3">
        <f>2+5+5</f>
        <v>12</v>
      </c>
      <c r="K2" s="3">
        <f>1+2+1</f>
        <v>4</v>
      </c>
      <c r="L2" s="3">
        <f t="shared" ref="L2:L16" si="1">SUM(H2:K2)</f>
        <v>63</v>
      </c>
    </row>
    <row r="3" spans="1:12" x14ac:dyDescent="0.25">
      <c r="A3">
        <v>2</v>
      </c>
      <c r="B3" s="3" t="s">
        <v>32</v>
      </c>
      <c r="C3" s="3" t="s">
        <v>34</v>
      </c>
      <c r="D3" s="3" t="s">
        <v>20</v>
      </c>
      <c r="E3" s="3" t="s">
        <v>13</v>
      </c>
      <c r="F3" s="3" t="s">
        <v>5</v>
      </c>
      <c r="G3" s="3">
        <f t="shared" si="0"/>
        <v>479</v>
      </c>
      <c r="H3" s="3">
        <f>13+13+12</f>
        <v>38</v>
      </c>
      <c r="I3" s="3">
        <f>2+3+3</f>
        <v>8</v>
      </c>
      <c r="J3" s="3">
        <f>2+2+3</f>
        <v>7</v>
      </c>
      <c r="K3" s="3">
        <f>3+3+3</f>
        <v>9</v>
      </c>
      <c r="L3" s="3">
        <f t="shared" si="1"/>
        <v>62</v>
      </c>
    </row>
    <row r="4" spans="1:12" x14ac:dyDescent="0.25">
      <c r="A4">
        <v>3</v>
      </c>
      <c r="B4" s="3" t="s">
        <v>133</v>
      </c>
      <c r="C4" s="3" t="s">
        <v>191</v>
      </c>
      <c r="D4" s="3" t="s">
        <v>20</v>
      </c>
      <c r="E4" s="3" t="s">
        <v>13</v>
      </c>
      <c r="F4" s="3" t="s">
        <v>5</v>
      </c>
      <c r="G4" s="3">
        <f t="shared" si="0"/>
        <v>424</v>
      </c>
      <c r="H4" s="3">
        <f>12+9+9</f>
        <v>30</v>
      </c>
      <c r="I4" s="3">
        <f>3+3+2</f>
        <v>8</v>
      </c>
      <c r="J4" s="3">
        <f>5+4+3</f>
        <v>12</v>
      </c>
      <c r="K4" s="3">
        <f>0+4+6</f>
        <v>10</v>
      </c>
      <c r="L4" s="3">
        <f t="shared" si="1"/>
        <v>60</v>
      </c>
    </row>
    <row r="5" spans="1:12" x14ac:dyDescent="0.25">
      <c r="A5">
        <v>4</v>
      </c>
      <c r="B5" t="s">
        <v>123</v>
      </c>
      <c r="C5" t="s">
        <v>227</v>
      </c>
      <c r="D5" t="s">
        <v>20</v>
      </c>
      <c r="E5" t="s">
        <v>13</v>
      </c>
      <c r="F5" t="s">
        <v>5</v>
      </c>
      <c r="G5">
        <f t="shared" si="0"/>
        <v>423</v>
      </c>
      <c r="H5">
        <f>12+9+10</f>
        <v>31</v>
      </c>
      <c r="I5">
        <f>2+2+2</f>
        <v>6</v>
      </c>
      <c r="J5">
        <f>4+5+4</f>
        <v>13</v>
      </c>
      <c r="K5">
        <f>3+5+5</f>
        <v>13</v>
      </c>
      <c r="L5">
        <f t="shared" si="1"/>
        <v>63</v>
      </c>
    </row>
    <row r="6" spans="1:12" x14ac:dyDescent="0.25">
      <c r="A6">
        <v>5</v>
      </c>
      <c r="B6" t="s">
        <v>186</v>
      </c>
      <c r="C6" t="s">
        <v>220</v>
      </c>
      <c r="D6" t="s">
        <v>20</v>
      </c>
      <c r="E6" t="s">
        <v>13</v>
      </c>
      <c r="F6" t="s">
        <v>5</v>
      </c>
      <c r="G6">
        <f t="shared" si="0"/>
        <v>397</v>
      </c>
      <c r="H6">
        <f>10+9+9</f>
        <v>28</v>
      </c>
      <c r="I6">
        <f>1+1+2</f>
        <v>4</v>
      </c>
      <c r="J6">
        <f>6+6+5</f>
        <v>17</v>
      </c>
      <c r="K6">
        <f>4+4+5</f>
        <v>13</v>
      </c>
      <c r="L6">
        <f t="shared" si="1"/>
        <v>62</v>
      </c>
    </row>
    <row r="7" spans="1:12" x14ac:dyDescent="0.25">
      <c r="A7">
        <v>6</v>
      </c>
      <c r="B7" t="s">
        <v>112</v>
      </c>
      <c r="C7" t="s">
        <v>94</v>
      </c>
      <c r="D7" t="s">
        <v>20</v>
      </c>
      <c r="E7" t="s">
        <v>13</v>
      </c>
      <c r="F7" t="s">
        <v>5</v>
      </c>
      <c r="G7">
        <f t="shared" si="0"/>
        <v>385</v>
      </c>
      <c r="H7">
        <f>8+10+9</f>
        <v>27</v>
      </c>
      <c r="I7">
        <f>3+1+1</f>
        <v>5</v>
      </c>
      <c r="J7">
        <f>3+6+6</f>
        <v>15</v>
      </c>
      <c r="K7">
        <f>6+3+4</f>
        <v>13</v>
      </c>
      <c r="L7">
        <f t="shared" si="1"/>
        <v>60</v>
      </c>
    </row>
    <row r="8" spans="1:12" x14ac:dyDescent="0.25">
      <c r="A8">
        <v>7</v>
      </c>
      <c r="B8" t="s">
        <v>63</v>
      </c>
      <c r="C8" t="s">
        <v>62</v>
      </c>
      <c r="D8" t="s">
        <v>20</v>
      </c>
      <c r="E8" t="s">
        <v>13</v>
      </c>
      <c r="F8" t="s">
        <v>5</v>
      </c>
      <c r="G8">
        <f t="shared" si="0"/>
        <v>330</v>
      </c>
      <c r="H8">
        <f>10+8+5</f>
        <v>23</v>
      </c>
      <c r="I8">
        <f>1+2+2</f>
        <v>5</v>
      </c>
      <c r="J8">
        <f>4+4+4</f>
        <v>12</v>
      </c>
      <c r="K8">
        <f>5+6+9</f>
        <v>20</v>
      </c>
      <c r="L8">
        <f t="shared" si="1"/>
        <v>60</v>
      </c>
    </row>
    <row r="9" spans="1:12" x14ac:dyDescent="0.25">
      <c r="A9">
        <v>8</v>
      </c>
      <c r="B9" t="s">
        <v>184</v>
      </c>
      <c r="C9" t="s">
        <v>181</v>
      </c>
      <c r="D9" t="s">
        <v>20</v>
      </c>
      <c r="E9" t="s">
        <v>13</v>
      </c>
      <c r="F9" t="s">
        <v>5</v>
      </c>
      <c r="G9">
        <f t="shared" si="0"/>
        <v>300</v>
      </c>
      <c r="H9">
        <f>7+7+3</f>
        <v>17</v>
      </c>
      <c r="I9">
        <f>0+2+3</f>
        <v>5</v>
      </c>
      <c r="J9">
        <f>6+6+6</f>
        <v>18</v>
      </c>
      <c r="K9">
        <f>7+5+8</f>
        <v>20</v>
      </c>
      <c r="L9">
        <f t="shared" si="1"/>
        <v>60</v>
      </c>
    </row>
    <row r="10" spans="1:12" x14ac:dyDescent="0.25">
      <c r="A10">
        <v>9</v>
      </c>
      <c r="B10" t="s">
        <v>205</v>
      </c>
      <c r="C10" t="s">
        <v>39</v>
      </c>
      <c r="D10" t="s">
        <v>20</v>
      </c>
      <c r="E10" t="s">
        <v>13</v>
      </c>
      <c r="F10" t="s">
        <v>5</v>
      </c>
      <c r="G10">
        <f t="shared" si="0"/>
        <v>296</v>
      </c>
      <c r="H10">
        <f>6+6+9</f>
        <v>21</v>
      </c>
      <c r="I10">
        <f>1+1+0</f>
        <v>2</v>
      </c>
      <c r="J10">
        <f>7+5+2</f>
        <v>14</v>
      </c>
      <c r="K10">
        <f>8+7+8</f>
        <v>23</v>
      </c>
      <c r="L10">
        <f t="shared" si="1"/>
        <v>60</v>
      </c>
    </row>
    <row r="11" spans="1:12" x14ac:dyDescent="0.25">
      <c r="A11">
        <v>10</v>
      </c>
      <c r="B11" t="s">
        <v>38</v>
      </c>
      <c r="C11" t="s">
        <v>39</v>
      </c>
      <c r="D11" t="s">
        <v>20</v>
      </c>
      <c r="E11" t="s">
        <v>13</v>
      </c>
      <c r="F11" t="s">
        <v>5</v>
      </c>
      <c r="G11">
        <f t="shared" si="0"/>
        <v>274</v>
      </c>
      <c r="H11">
        <f>8+3+5</f>
        <v>16</v>
      </c>
      <c r="I11">
        <f>0+4+4</f>
        <v>8</v>
      </c>
      <c r="J11">
        <f>3+4+3</f>
        <v>10</v>
      </c>
      <c r="K11">
        <f>9+9+8</f>
        <v>26</v>
      </c>
      <c r="L11">
        <f t="shared" si="1"/>
        <v>60</v>
      </c>
    </row>
    <row r="12" spans="1:12" x14ac:dyDescent="0.25">
      <c r="A12">
        <v>11</v>
      </c>
      <c r="B12" t="s">
        <v>111</v>
      </c>
      <c r="C12" t="s">
        <v>94</v>
      </c>
      <c r="D12" t="s">
        <v>20</v>
      </c>
      <c r="E12" t="s">
        <v>13</v>
      </c>
      <c r="F12" t="s">
        <v>5</v>
      </c>
      <c r="G12">
        <f t="shared" si="0"/>
        <v>264</v>
      </c>
      <c r="H12">
        <f>4+7+4</f>
        <v>15</v>
      </c>
      <c r="I12">
        <f>0+1+2</f>
        <v>3</v>
      </c>
      <c r="J12">
        <f>9+4+5</f>
        <v>18</v>
      </c>
      <c r="K12">
        <f>7+8+9</f>
        <v>24</v>
      </c>
      <c r="L12">
        <f t="shared" si="1"/>
        <v>60</v>
      </c>
    </row>
    <row r="13" spans="1:12" x14ac:dyDescent="0.25">
      <c r="A13">
        <v>12</v>
      </c>
      <c r="B13" t="s">
        <v>194</v>
      </c>
      <c r="C13" t="s">
        <v>56</v>
      </c>
      <c r="D13" t="s">
        <v>20</v>
      </c>
      <c r="E13" t="s">
        <v>13</v>
      </c>
      <c r="F13" t="s">
        <v>5</v>
      </c>
      <c r="G13">
        <f t="shared" si="0"/>
        <v>246</v>
      </c>
      <c r="H13">
        <f>7+4+4</f>
        <v>15</v>
      </c>
      <c r="I13">
        <f>0+0+2</f>
        <v>2</v>
      </c>
      <c r="J13">
        <f>7+7+2</f>
        <v>16</v>
      </c>
      <c r="K13">
        <f>6+9+12</f>
        <v>27</v>
      </c>
      <c r="L13">
        <f t="shared" si="1"/>
        <v>60</v>
      </c>
    </row>
    <row r="14" spans="1:12" x14ac:dyDescent="0.25">
      <c r="A14">
        <v>13</v>
      </c>
      <c r="B14" t="s">
        <v>153</v>
      </c>
      <c r="C14" t="s">
        <v>142</v>
      </c>
      <c r="D14" t="s">
        <v>20</v>
      </c>
      <c r="E14" t="s">
        <v>13</v>
      </c>
      <c r="F14" t="s">
        <v>5</v>
      </c>
      <c r="G14">
        <f t="shared" si="0"/>
        <v>245</v>
      </c>
      <c r="H14">
        <f>5+6+5</f>
        <v>16</v>
      </c>
      <c r="I14">
        <f>0+0+0</f>
        <v>0</v>
      </c>
      <c r="J14">
        <f>4+5+8</f>
        <v>17</v>
      </c>
      <c r="K14">
        <f>11+9+7</f>
        <v>27</v>
      </c>
      <c r="L14">
        <f t="shared" si="1"/>
        <v>60</v>
      </c>
    </row>
    <row r="15" spans="1:12" x14ac:dyDescent="0.25">
      <c r="A15">
        <v>14</v>
      </c>
      <c r="B15" t="s">
        <v>202</v>
      </c>
      <c r="C15" t="s">
        <v>203</v>
      </c>
      <c r="D15" t="s">
        <v>20</v>
      </c>
      <c r="E15" t="s">
        <v>13</v>
      </c>
      <c r="F15" t="s">
        <v>5</v>
      </c>
      <c r="G15">
        <f t="shared" si="0"/>
        <v>240</v>
      </c>
      <c r="H15">
        <f>6+3+5</f>
        <v>14</v>
      </c>
      <c r="I15">
        <f>1+1+3</f>
        <v>5</v>
      </c>
      <c r="J15">
        <f>4+5+3</f>
        <v>12</v>
      </c>
      <c r="K15">
        <f>9+11+9</f>
        <v>29</v>
      </c>
      <c r="L15">
        <f t="shared" si="1"/>
        <v>60</v>
      </c>
    </row>
    <row r="16" spans="1:12" x14ac:dyDescent="0.25">
      <c r="A16">
        <v>15</v>
      </c>
      <c r="B16" t="s">
        <v>209</v>
      </c>
      <c r="C16" t="s">
        <v>17</v>
      </c>
      <c r="D16" t="s">
        <v>20</v>
      </c>
      <c r="E16" t="s">
        <v>13</v>
      </c>
      <c r="F16" t="s">
        <v>5</v>
      </c>
      <c r="G16">
        <f t="shared" si="0"/>
        <v>128</v>
      </c>
      <c r="H16">
        <f>1+3+4</f>
        <v>8</v>
      </c>
      <c r="I16">
        <f>0+0+1</f>
        <v>1</v>
      </c>
      <c r="J16">
        <f>3+3+2</f>
        <v>8</v>
      </c>
      <c r="K16">
        <f>18+13+12</f>
        <v>43</v>
      </c>
      <c r="L16">
        <f t="shared" si="1"/>
        <v>60</v>
      </c>
    </row>
  </sheetData>
  <sortState ref="B2:L16">
    <sortCondition descending="1" ref="G1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E8" sqref="E8"/>
    </sheetView>
  </sheetViews>
  <sheetFormatPr defaultRowHeight="15" x14ac:dyDescent="0.25"/>
  <cols>
    <col min="1" max="1" width="21.5703125" customWidth="1"/>
    <col min="2" max="2" width="29.85546875" customWidth="1"/>
    <col min="7" max="11" width="0" hidden="1" customWidth="1"/>
  </cols>
  <sheetData>
    <row r="1" spans="1:11" x14ac:dyDescent="0.25">
      <c r="A1" s="1" t="s">
        <v>1</v>
      </c>
      <c r="B1" s="1" t="s">
        <v>2</v>
      </c>
      <c r="C1" s="1" t="s">
        <v>221</v>
      </c>
      <c r="D1" s="1" t="s">
        <v>222</v>
      </c>
      <c r="E1" s="1" t="s">
        <v>223</v>
      </c>
      <c r="F1" s="1" t="s">
        <v>224</v>
      </c>
      <c r="G1">
        <v>10</v>
      </c>
      <c r="H1">
        <v>8</v>
      </c>
      <c r="I1">
        <v>5</v>
      </c>
      <c r="J1">
        <v>0</v>
      </c>
      <c r="K1" t="s">
        <v>225</v>
      </c>
    </row>
    <row r="2" spans="1:11" x14ac:dyDescent="0.25">
      <c r="A2" t="s">
        <v>91</v>
      </c>
      <c r="B2" t="s">
        <v>87</v>
      </c>
      <c r="C2" t="s">
        <v>20</v>
      </c>
      <c r="D2" t="s">
        <v>19</v>
      </c>
      <c r="E2" t="s">
        <v>5</v>
      </c>
      <c r="F2">
        <v>176</v>
      </c>
      <c r="G2">
        <f>2+4+4</f>
        <v>10</v>
      </c>
      <c r="H2">
        <f>0+1+1</f>
        <v>2</v>
      </c>
      <c r="I2">
        <f>6+5+1</f>
        <v>12</v>
      </c>
      <c r="J2">
        <f>12+10+14</f>
        <v>36</v>
      </c>
      <c r="K2">
        <f>SUM(G2:J2)</f>
        <v>60</v>
      </c>
    </row>
    <row r="3" spans="1:11" x14ac:dyDescent="0.25">
      <c r="A3" t="s">
        <v>132</v>
      </c>
      <c r="B3" t="s">
        <v>191</v>
      </c>
      <c r="C3" t="s">
        <v>20</v>
      </c>
      <c r="D3" t="s">
        <v>19</v>
      </c>
      <c r="E3" t="s">
        <v>5</v>
      </c>
      <c r="F3">
        <v>121</v>
      </c>
      <c r="G3">
        <f>1+2+3</f>
        <v>6</v>
      </c>
      <c r="H3">
        <f>2+0+0</f>
        <v>2</v>
      </c>
      <c r="I3">
        <f>5+1+3</f>
        <v>9</v>
      </c>
      <c r="J3">
        <v>43</v>
      </c>
      <c r="K3">
        <f>SUM(G3:J3)</f>
        <v>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H1" sqref="H1:L1048576"/>
    </sheetView>
  </sheetViews>
  <sheetFormatPr defaultRowHeight="15" x14ac:dyDescent="0.25"/>
  <cols>
    <col min="1" max="1" width="2" bestFit="1" customWidth="1"/>
    <col min="2" max="2" width="15.85546875" bestFit="1" customWidth="1"/>
    <col min="3" max="3" width="24.7109375" customWidth="1"/>
    <col min="4" max="4" width="9.28515625" bestFit="1" customWidth="1"/>
    <col min="6" max="6" width="12.140625" bestFit="1" customWidth="1"/>
    <col min="8" max="12" width="0" hidden="1" customWidth="1"/>
  </cols>
  <sheetData>
    <row r="1" spans="1:12" x14ac:dyDescent="0.25">
      <c r="B1" s="2" t="s">
        <v>1</v>
      </c>
      <c r="C1" s="2" t="s">
        <v>2</v>
      </c>
      <c r="D1" s="2" t="s">
        <v>221</v>
      </c>
      <c r="E1" s="2" t="s">
        <v>222</v>
      </c>
      <c r="F1" s="2" t="s">
        <v>223</v>
      </c>
      <c r="G1" s="2" t="s">
        <v>224</v>
      </c>
      <c r="H1" s="3">
        <v>10</v>
      </c>
      <c r="I1" s="3">
        <v>8</v>
      </c>
      <c r="J1" s="3">
        <v>5</v>
      </c>
      <c r="K1" s="3">
        <v>0</v>
      </c>
      <c r="L1" s="3" t="s">
        <v>225</v>
      </c>
    </row>
    <row r="2" spans="1:12" x14ac:dyDescent="0.25">
      <c r="A2">
        <v>1</v>
      </c>
      <c r="B2" s="3" t="s">
        <v>74</v>
      </c>
      <c r="C2" s="3" t="s">
        <v>75</v>
      </c>
      <c r="D2" s="3" t="s">
        <v>3</v>
      </c>
      <c r="E2" s="3" t="s">
        <v>4</v>
      </c>
      <c r="F2" s="3" t="s">
        <v>18</v>
      </c>
      <c r="G2" s="3">
        <f>10*H2+8*I2+5*J2</f>
        <v>431</v>
      </c>
      <c r="H2" s="3">
        <f>10+10+9</f>
        <v>29</v>
      </c>
      <c r="I2" s="3">
        <f>5+4+3</f>
        <v>12</v>
      </c>
      <c r="J2" s="3">
        <f>2+2+5</f>
        <v>9</v>
      </c>
      <c r="K2" s="3">
        <f>3+5+4</f>
        <v>12</v>
      </c>
      <c r="L2" s="3">
        <f>SUM(H2:K2)</f>
        <v>62</v>
      </c>
    </row>
    <row r="3" spans="1:12" x14ac:dyDescent="0.25">
      <c r="A3">
        <v>2</v>
      </c>
      <c r="B3" s="3" t="s">
        <v>141</v>
      </c>
      <c r="C3" s="3" t="s">
        <v>17</v>
      </c>
      <c r="D3" s="3" t="s">
        <v>3</v>
      </c>
      <c r="E3" s="3" t="s">
        <v>4</v>
      </c>
      <c r="F3" s="3" t="s">
        <v>18</v>
      </c>
      <c r="G3" s="3">
        <f>+H3*10+I3*8+J3*5</f>
        <v>330</v>
      </c>
      <c r="H3" s="3">
        <f>6+6+11</f>
        <v>23</v>
      </c>
      <c r="I3" s="3">
        <f>3+1+1</f>
        <v>5</v>
      </c>
      <c r="J3" s="3">
        <f>5+4+3</f>
        <v>12</v>
      </c>
      <c r="K3" s="3">
        <f>6+9+6</f>
        <v>21</v>
      </c>
      <c r="L3" s="3">
        <f>SUM(H3:K3)</f>
        <v>61</v>
      </c>
    </row>
    <row r="4" spans="1:12" x14ac:dyDescent="0.25">
      <c r="A4">
        <v>3</v>
      </c>
      <c r="B4" s="3" t="s">
        <v>125</v>
      </c>
      <c r="C4" s="3" t="s">
        <v>126</v>
      </c>
      <c r="D4" s="3" t="s">
        <v>3</v>
      </c>
      <c r="E4" s="3" t="s">
        <v>4</v>
      </c>
      <c r="F4" s="3" t="s">
        <v>18</v>
      </c>
      <c r="G4" s="3">
        <f>10*H4+8*I4+5*J4</f>
        <v>319</v>
      </c>
      <c r="H4" s="3">
        <f>5+6+10</f>
        <v>21</v>
      </c>
      <c r="I4" s="3">
        <f>5+1+2</f>
        <v>8</v>
      </c>
      <c r="J4" s="3">
        <f>2+4+3</f>
        <v>9</v>
      </c>
      <c r="K4" s="3">
        <f>8+10+6</f>
        <v>24</v>
      </c>
      <c r="L4" s="3">
        <f>SUM(H4:K4)</f>
        <v>62</v>
      </c>
    </row>
    <row r="5" spans="1:12" x14ac:dyDescent="0.25">
      <c r="A5">
        <v>4</v>
      </c>
      <c r="B5" t="s">
        <v>128</v>
      </c>
      <c r="C5" t="s">
        <v>126</v>
      </c>
      <c r="D5" t="s">
        <v>3</v>
      </c>
      <c r="E5" t="s">
        <v>4</v>
      </c>
      <c r="F5" t="s">
        <v>18</v>
      </c>
      <c r="G5">
        <f>+H5*10+I5*8+J5*5</f>
        <v>318</v>
      </c>
      <c r="H5">
        <f>6+8+8</f>
        <v>22</v>
      </c>
      <c r="I5">
        <f>4+2+0</f>
        <v>6</v>
      </c>
      <c r="J5">
        <f>2+3+5</f>
        <v>10</v>
      </c>
      <c r="K5">
        <f>4+4+4</f>
        <v>12</v>
      </c>
      <c r="L5">
        <f>SUM(H3:K3)</f>
        <v>61</v>
      </c>
    </row>
  </sheetData>
  <sortState ref="B2:L5">
    <sortCondition descending="1" ref="G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G1" sqref="G1:K1048576"/>
    </sheetView>
  </sheetViews>
  <sheetFormatPr defaultRowHeight="15" x14ac:dyDescent="0.25"/>
  <cols>
    <col min="1" max="1" width="21.85546875" bestFit="1" customWidth="1"/>
    <col min="2" max="2" width="27.140625" customWidth="1"/>
    <col min="7" max="11" width="0" hidden="1" customWidth="1"/>
  </cols>
  <sheetData>
    <row r="1" spans="1:11" x14ac:dyDescent="0.25">
      <c r="A1" s="1" t="s">
        <v>1</v>
      </c>
      <c r="B1" s="1" t="s">
        <v>2</v>
      </c>
      <c r="C1" s="1" t="s">
        <v>221</v>
      </c>
      <c r="D1" s="1" t="s">
        <v>222</v>
      </c>
      <c r="E1" s="1" t="s">
        <v>223</v>
      </c>
      <c r="F1" s="1" t="s">
        <v>224</v>
      </c>
      <c r="G1">
        <v>10</v>
      </c>
      <c r="H1">
        <v>8</v>
      </c>
      <c r="I1">
        <v>5</v>
      </c>
      <c r="J1">
        <v>0</v>
      </c>
      <c r="K1" t="s">
        <v>225</v>
      </c>
    </row>
    <row r="2" spans="1:11" x14ac:dyDescent="0.25">
      <c r="A2" t="s">
        <v>199</v>
      </c>
      <c r="B2" t="s">
        <v>39</v>
      </c>
      <c r="C2" t="s">
        <v>3</v>
      </c>
      <c r="D2" t="s">
        <v>10</v>
      </c>
      <c r="E2" t="s">
        <v>5</v>
      </c>
      <c r="F2">
        <f>+G2*10+H2*8+I2*5</f>
        <v>333</v>
      </c>
      <c r="G2">
        <f>5+9+6</f>
        <v>20</v>
      </c>
      <c r="H2">
        <f>3+0+3</f>
        <v>6</v>
      </c>
      <c r="I2">
        <f>6+8+3</f>
        <v>17</v>
      </c>
      <c r="J2">
        <f>6+3+8</f>
        <v>17</v>
      </c>
      <c r="K2">
        <f>SUM(G2:J2)</f>
        <v>60</v>
      </c>
    </row>
    <row r="3" spans="1:11" x14ac:dyDescent="0.25">
      <c r="A3" t="s">
        <v>65</v>
      </c>
      <c r="B3" t="s">
        <v>66</v>
      </c>
      <c r="C3" t="s">
        <v>3</v>
      </c>
      <c r="D3" t="s">
        <v>10</v>
      </c>
      <c r="E3" t="s">
        <v>5</v>
      </c>
      <c r="F3">
        <f t="shared" ref="F3:F4" si="0">+G3*10+H3*8+I3*5</f>
        <v>270</v>
      </c>
      <c r="G3">
        <f>4+7+4</f>
        <v>15</v>
      </c>
      <c r="H3">
        <f>3+0+2</f>
        <v>5</v>
      </c>
      <c r="I3">
        <f>5+5+5+1</f>
        <v>16</v>
      </c>
      <c r="J3">
        <f>8+8+8</f>
        <v>24</v>
      </c>
      <c r="K3">
        <f t="shared" ref="K3:K4" si="1">SUM(G3:J3)</f>
        <v>60</v>
      </c>
    </row>
    <row r="4" spans="1:11" x14ac:dyDescent="0.25">
      <c r="A4" t="s">
        <v>127</v>
      </c>
      <c r="B4" t="s">
        <v>126</v>
      </c>
      <c r="C4" t="s">
        <v>3</v>
      </c>
      <c r="D4" t="s">
        <v>10</v>
      </c>
      <c r="E4" t="s">
        <v>5</v>
      </c>
      <c r="F4">
        <f t="shared" si="0"/>
        <v>219</v>
      </c>
      <c r="G4">
        <f>6+4+5</f>
        <v>15</v>
      </c>
      <c r="H4">
        <f>2+0+1</f>
        <v>3</v>
      </c>
      <c r="I4">
        <f>3+4+2</f>
        <v>9</v>
      </c>
      <c r="J4">
        <f>5+8+8</f>
        <v>21</v>
      </c>
      <c r="K4">
        <f t="shared" si="1"/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34" workbookViewId="0">
      <selection activeCell="C28" sqref="C28"/>
    </sheetView>
  </sheetViews>
  <sheetFormatPr defaultRowHeight="15" x14ac:dyDescent="0.25"/>
  <cols>
    <col min="1" max="1" width="3" bestFit="1" customWidth="1"/>
    <col min="2" max="2" width="18.85546875" bestFit="1" customWidth="1"/>
    <col min="3" max="3" width="35.5703125" customWidth="1"/>
    <col min="8" max="12" width="0" hidden="1" customWidth="1"/>
  </cols>
  <sheetData>
    <row r="1" spans="1:12" x14ac:dyDescent="0.25">
      <c r="B1" s="2" t="s">
        <v>1</v>
      </c>
      <c r="C1" s="2" t="s">
        <v>2</v>
      </c>
      <c r="D1" s="2" t="s">
        <v>221</v>
      </c>
      <c r="E1" s="2" t="s">
        <v>222</v>
      </c>
      <c r="F1" s="2" t="s">
        <v>223</v>
      </c>
      <c r="G1" s="2" t="s">
        <v>224</v>
      </c>
      <c r="H1" s="3">
        <v>10</v>
      </c>
      <c r="I1" s="3">
        <v>8</v>
      </c>
      <c r="J1" s="3">
        <v>5</v>
      </c>
      <c r="K1" s="3">
        <v>0</v>
      </c>
      <c r="L1" s="3" t="s">
        <v>225</v>
      </c>
    </row>
    <row r="2" spans="1:12" x14ac:dyDescent="0.25">
      <c r="A2">
        <v>1</v>
      </c>
      <c r="B2" s="3" t="s">
        <v>31</v>
      </c>
      <c r="C2" s="3" t="s">
        <v>34</v>
      </c>
      <c r="D2" s="3" t="s">
        <v>6</v>
      </c>
      <c r="E2" s="3" t="s">
        <v>4</v>
      </c>
      <c r="F2" s="3" t="s">
        <v>5</v>
      </c>
      <c r="G2" s="3">
        <f t="shared" ref="G2:G33" si="0">+H2*10+I2*8+J2*5</f>
        <v>482</v>
      </c>
      <c r="H2" s="3">
        <f>11+14+15</f>
        <v>40</v>
      </c>
      <c r="I2" s="3">
        <f>2+1+1</f>
        <v>4</v>
      </c>
      <c r="J2" s="3">
        <f>3+3+4</f>
        <v>10</v>
      </c>
      <c r="K2" s="3">
        <f>4+3+1</f>
        <v>8</v>
      </c>
      <c r="L2" s="3">
        <f t="shared" ref="L2:L33" si="1">SUM(H2:K2)</f>
        <v>62</v>
      </c>
    </row>
    <row r="3" spans="1:12" x14ac:dyDescent="0.25">
      <c r="A3">
        <v>2</v>
      </c>
      <c r="B3" s="3" t="s">
        <v>28</v>
      </c>
      <c r="C3" s="3" t="s">
        <v>33</v>
      </c>
      <c r="D3" s="3" t="s">
        <v>6</v>
      </c>
      <c r="E3" s="3" t="s">
        <v>4</v>
      </c>
      <c r="F3" s="3" t="s">
        <v>5</v>
      </c>
      <c r="G3" s="3">
        <f t="shared" si="0"/>
        <v>480</v>
      </c>
      <c r="H3" s="3">
        <f>10+12+13</f>
        <v>35</v>
      </c>
      <c r="I3" s="3">
        <f>3+3+4</f>
        <v>10</v>
      </c>
      <c r="J3" s="3">
        <f>2+4+4</f>
        <v>10</v>
      </c>
      <c r="K3" s="3">
        <f>5+2+0</f>
        <v>7</v>
      </c>
      <c r="L3" s="3">
        <f t="shared" si="1"/>
        <v>62</v>
      </c>
    </row>
    <row r="4" spans="1:12" x14ac:dyDescent="0.25">
      <c r="A4">
        <v>3</v>
      </c>
      <c r="B4" s="3" t="s">
        <v>155</v>
      </c>
      <c r="C4" s="3" t="s">
        <v>87</v>
      </c>
      <c r="D4" s="3" t="s">
        <v>6</v>
      </c>
      <c r="E4" s="3" t="s">
        <v>4</v>
      </c>
      <c r="F4" s="3" t="s">
        <v>5</v>
      </c>
      <c r="G4" s="3">
        <f t="shared" si="0"/>
        <v>455</v>
      </c>
      <c r="H4" s="3">
        <f>13+11+13</f>
        <v>37</v>
      </c>
      <c r="I4" s="3">
        <f>0+3+2</f>
        <v>5</v>
      </c>
      <c r="J4" s="3">
        <f>3+4+2</f>
        <v>9</v>
      </c>
      <c r="K4" s="3">
        <f>5+3+4</f>
        <v>12</v>
      </c>
      <c r="L4" s="3">
        <f t="shared" si="1"/>
        <v>63</v>
      </c>
    </row>
    <row r="5" spans="1:12" x14ac:dyDescent="0.25">
      <c r="A5">
        <v>4</v>
      </c>
      <c r="B5" t="s">
        <v>137</v>
      </c>
      <c r="C5" t="s">
        <v>139</v>
      </c>
      <c r="D5" t="s">
        <v>6</v>
      </c>
      <c r="E5" t="s">
        <v>4</v>
      </c>
      <c r="F5" t="s">
        <v>5</v>
      </c>
      <c r="G5">
        <f t="shared" si="0"/>
        <v>437</v>
      </c>
      <c r="H5">
        <f>10+9+12</f>
        <v>31</v>
      </c>
      <c r="I5">
        <f>4+2+3</f>
        <v>9</v>
      </c>
      <c r="J5">
        <f>3+4+4</f>
        <v>11</v>
      </c>
      <c r="K5">
        <f>4+5+2</f>
        <v>11</v>
      </c>
      <c r="L5">
        <f t="shared" si="1"/>
        <v>62</v>
      </c>
    </row>
    <row r="6" spans="1:12" x14ac:dyDescent="0.25">
      <c r="A6">
        <v>5</v>
      </c>
      <c r="B6" t="s">
        <v>73</v>
      </c>
      <c r="C6" t="s">
        <v>208</v>
      </c>
      <c r="D6" t="s">
        <v>6</v>
      </c>
      <c r="E6" t="s">
        <v>4</v>
      </c>
      <c r="F6" t="s">
        <v>5</v>
      </c>
      <c r="G6">
        <f t="shared" si="0"/>
        <v>430</v>
      </c>
      <c r="H6">
        <f>12+9+10</f>
        <v>31</v>
      </c>
      <c r="I6">
        <f>4+2+4</f>
        <v>10</v>
      </c>
      <c r="J6">
        <f>1+5+2</f>
        <v>8</v>
      </c>
      <c r="K6">
        <f>4+5+5</f>
        <v>14</v>
      </c>
      <c r="L6">
        <f t="shared" si="1"/>
        <v>63</v>
      </c>
    </row>
    <row r="7" spans="1:12" x14ac:dyDescent="0.25">
      <c r="A7">
        <v>6</v>
      </c>
      <c r="B7" t="s">
        <v>147</v>
      </c>
      <c r="C7" t="s">
        <v>142</v>
      </c>
      <c r="D7" t="s">
        <v>6</v>
      </c>
      <c r="E7" t="s">
        <v>4</v>
      </c>
      <c r="F7" t="s">
        <v>5</v>
      </c>
      <c r="G7">
        <f t="shared" si="0"/>
        <v>428</v>
      </c>
      <c r="H7">
        <f>9+9+14</f>
        <v>32</v>
      </c>
      <c r="I7">
        <f>1+5+0</f>
        <v>6</v>
      </c>
      <c r="J7">
        <f>6+2+4</f>
        <v>12</v>
      </c>
      <c r="K7">
        <f>5+5+3</f>
        <v>13</v>
      </c>
      <c r="L7">
        <f t="shared" si="1"/>
        <v>63</v>
      </c>
    </row>
    <row r="8" spans="1:12" x14ac:dyDescent="0.25">
      <c r="A8">
        <v>7</v>
      </c>
      <c r="B8" t="s">
        <v>206</v>
      </c>
      <c r="C8" t="s">
        <v>207</v>
      </c>
      <c r="D8" t="s">
        <v>6</v>
      </c>
      <c r="E8" t="s">
        <v>4</v>
      </c>
      <c r="F8" t="s">
        <v>5</v>
      </c>
      <c r="G8">
        <f t="shared" si="0"/>
        <v>428</v>
      </c>
      <c r="H8">
        <f>11+10+11</f>
        <v>32</v>
      </c>
      <c r="I8">
        <f>2+1+3</f>
        <v>6</v>
      </c>
      <c r="J8">
        <f>3+5+4</f>
        <v>12</v>
      </c>
      <c r="K8">
        <f>5+5+3</f>
        <v>13</v>
      </c>
      <c r="L8">
        <f t="shared" si="1"/>
        <v>63</v>
      </c>
    </row>
    <row r="9" spans="1:12" x14ac:dyDescent="0.25">
      <c r="A9">
        <v>8</v>
      </c>
      <c r="B9" t="s">
        <v>154</v>
      </c>
      <c r="C9" t="s">
        <v>142</v>
      </c>
      <c r="D9" t="s">
        <v>6</v>
      </c>
      <c r="E9" t="s">
        <v>4</v>
      </c>
      <c r="F9" t="s">
        <v>5</v>
      </c>
      <c r="G9">
        <f t="shared" si="0"/>
        <v>416</v>
      </c>
      <c r="H9">
        <f>11+11+9</f>
        <v>31</v>
      </c>
      <c r="I9">
        <f>1+1+5</f>
        <v>7</v>
      </c>
      <c r="J9">
        <f>4+4+2</f>
        <v>10</v>
      </c>
      <c r="K9">
        <f>5+5+5</f>
        <v>15</v>
      </c>
      <c r="L9">
        <f t="shared" si="1"/>
        <v>63</v>
      </c>
    </row>
    <row r="10" spans="1:12" x14ac:dyDescent="0.25">
      <c r="A10">
        <v>9</v>
      </c>
      <c r="B10" t="s">
        <v>49</v>
      </c>
      <c r="C10" t="s">
        <v>39</v>
      </c>
      <c r="D10" t="s">
        <v>6</v>
      </c>
      <c r="E10" t="s">
        <v>4</v>
      </c>
      <c r="F10" t="s">
        <v>5</v>
      </c>
      <c r="G10">
        <f t="shared" si="0"/>
        <v>401</v>
      </c>
      <c r="H10">
        <f>9+10+9</f>
        <v>28</v>
      </c>
      <c r="I10">
        <f>3+2+2</f>
        <v>7</v>
      </c>
      <c r="J10">
        <f>3+4+6</f>
        <v>13</v>
      </c>
      <c r="K10">
        <f>6+4+4</f>
        <v>14</v>
      </c>
      <c r="L10">
        <f t="shared" si="1"/>
        <v>62</v>
      </c>
    </row>
    <row r="11" spans="1:12" x14ac:dyDescent="0.25">
      <c r="A11">
        <v>10</v>
      </c>
      <c r="B11" t="s">
        <v>46</v>
      </c>
      <c r="C11" t="s">
        <v>39</v>
      </c>
      <c r="D11" t="s">
        <v>6</v>
      </c>
      <c r="E11" t="s">
        <v>4</v>
      </c>
      <c r="F11" t="s">
        <v>5</v>
      </c>
      <c r="G11">
        <f t="shared" si="0"/>
        <v>395</v>
      </c>
      <c r="H11">
        <f>9+8+13</f>
        <v>30</v>
      </c>
      <c r="I11">
        <f>2+3+0</f>
        <v>5</v>
      </c>
      <c r="J11">
        <f>3+4+4</f>
        <v>11</v>
      </c>
      <c r="K11">
        <f>6+5+3</f>
        <v>14</v>
      </c>
      <c r="L11">
        <f t="shared" si="1"/>
        <v>60</v>
      </c>
    </row>
    <row r="12" spans="1:12" x14ac:dyDescent="0.25">
      <c r="A12">
        <v>11</v>
      </c>
      <c r="B12" t="s">
        <v>48</v>
      </c>
      <c r="C12" t="s">
        <v>39</v>
      </c>
      <c r="D12" t="s">
        <v>6</v>
      </c>
      <c r="E12" t="s">
        <v>4</v>
      </c>
      <c r="F12" t="s">
        <v>5</v>
      </c>
      <c r="G12">
        <f t="shared" si="0"/>
        <v>383</v>
      </c>
      <c r="H12">
        <f>9+14+8</f>
        <v>31</v>
      </c>
      <c r="I12">
        <f>1+0+0</f>
        <v>1</v>
      </c>
      <c r="J12">
        <f>4+4+5</f>
        <v>13</v>
      </c>
      <c r="K12">
        <f>6+3+7</f>
        <v>16</v>
      </c>
      <c r="L12">
        <f t="shared" si="1"/>
        <v>61</v>
      </c>
    </row>
    <row r="13" spans="1:12" x14ac:dyDescent="0.25">
      <c r="A13">
        <v>12</v>
      </c>
      <c r="B13" t="s">
        <v>54</v>
      </c>
      <c r="C13" t="s">
        <v>55</v>
      </c>
      <c r="D13" t="s">
        <v>6</v>
      </c>
      <c r="E13" t="s">
        <v>4</v>
      </c>
      <c r="F13" t="s">
        <v>5</v>
      </c>
      <c r="G13">
        <f t="shared" si="0"/>
        <v>379</v>
      </c>
      <c r="H13">
        <f>10+8+6</f>
        <v>24</v>
      </c>
      <c r="I13">
        <f>3+3+2</f>
        <v>8</v>
      </c>
      <c r="J13">
        <f>5+4+6</f>
        <v>15</v>
      </c>
      <c r="K13">
        <f>3+5+7</f>
        <v>15</v>
      </c>
      <c r="L13">
        <f t="shared" si="1"/>
        <v>62</v>
      </c>
    </row>
    <row r="14" spans="1:12" x14ac:dyDescent="0.25">
      <c r="A14">
        <v>13</v>
      </c>
      <c r="B14" t="s">
        <v>160</v>
      </c>
      <c r="C14" t="s">
        <v>159</v>
      </c>
      <c r="D14" t="s">
        <v>6</v>
      </c>
      <c r="E14" t="s">
        <v>4</v>
      </c>
      <c r="F14" t="s">
        <v>5</v>
      </c>
      <c r="G14">
        <f t="shared" si="0"/>
        <v>375</v>
      </c>
      <c r="H14">
        <f>9+9+10</f>
        <v>28</v>
      </c>
      <c r="I14">
        <f>2+2+1</f>
        <v>5</v>
      </c>
      <c r="J14">
        <f>2+4+5</f>
        <v>11</v>
      </c>
      <c r="K14">
        <f>7+6+5</f>
        <v>18</v>
      </c>
      <c r="L14">
        <f t="shared" si="1"/>
        <v>62</v>
      </c>
    </row>
    <row r="15" spans="1:12" x14ac:dyDescent="0.25">
      <c r="A15">
        <v>14</v>
      </c>
      <c r="B15" t="s">
        <v>98</v>
      </c>
      <c r="C15" t="s">
        <v>94</v>
      </c>
      <c r="D15" t="s">
        <v>6</v>
      </c>
      <c r="E15" t="s">
        <v>4</v>
      </c>
      <c r="F15" t="s">
        <v>5</v>
      </c>
      <c r="G15">
        <f t="shared" si="0"/>
        <v>369</v>
      </c>
      <c r="H15">
        <f>7+7+10</f>
        <v>24</v>
      </c>
      <c r="I15">
        <f>4+2+2</f>
        <v>8</v>
      </c>
      <c r="J15">
        <f>5+3+5</f>
        <v>13</v>
      </c>
      <c r="K15">
        <f>5+8+4</f>
        <v>17</v>
      </c>
      <c r="L15">
        <f t="shared" si="1"/>
        <v>62</v>
      </c>
    </row>
    <row r="16" spans="1:12" x14ac:dyDescent="0.25">
      <c r="A16">
        <v>15</v>
      </c>
      <c r="B16" t="s">
        <v>103</v>
      </c>
      <c r="C16" t="s">
        <v>102</v>
      </c>
      <c r="D16" t="s">
        <v>6</v>
      </c>
      <c r="E16" t="s">
        <v>4</v>
      </c>
      <c r="F16" t="s">
        <v>5</v>
      </c>
      <c r="G16">
        <f t="shared" si="0"/>
        <v>369</v>
      </c>
      <c r="H16">
        <f>8+8+9</f>
        <v>25</v>
      </c>
      <c r="I16">
        <f>5+1+2</f>
        <v>8</v>
      </c>
      <c r="J16">
        <f>3+4+4</f>
        <v>11</v>
      </c>
      <c r="K16">
        <f>5+8+6</f>
        <v>19</v>
      </c>
      <c r="L16">
        <f t="shared" si="1"/>
        <v>63</v>
      </c>
    </row>
    <row r="17" spans="1:12" x14ac:dyDescent="0.25">
      <c r="A17">
        <v>16</v>
      </c>
      <c r="B17" t="s">
        <v>101</v>
      </c>
      <c r="C17" t="s">
        <v>115</v>
      </c>
      <c r="D17" t="s">
        <v>6</v>
      </c>
      <c r="E17" t="s">
        <v>4</v>
      </c>
      <c r="F17" t="s">
        <v>5</v>
      </c>
      <c r="G17">
        <f t="shared" si="0"/>
        <v>364</v>
      </c>
      <c r="H17">
        <f>8+6+9</f>
        <v>23</v>
      </c>
      <c r="I17">
        <f>1+4+3</f>
        <v>8</v>
      </c>
      <c r="J17">
        <f>4+6+4</f>
        <v>14</v>
      </c>
      <c r="K17">
        <f>8+4+5</f>
        <v>17</v>
      </c>
      <c r="L17">
        <f t="shared" si="1"/>
        <v>62</v>
      </c>
    </row>
    <row r="18" spans="1:12" x14ac:dyDescent="0.25">
      <c r="A18">
        <v>17</v>
      </c>
      <c r="B18" t="s">
        <v>164</v>
      </c>
      <c r="C18" t="s">
        <v>114</v>
      </c>
      <c r="D18" t="s">
        <v>6</v>
      </c>
      <c r="E18" t="s">
        <v>4</v>
      </c>
      <c r="F18" t="s">
        <v>5</v>
      </c>
      <c r="G18">
        <f t="shared" si="0"/>
        <v>360</v>
      </c>
      <c r="H18">
        <f>9+7+6</f>
        <v>22</v>
      </c>
      <c r="I18">
        <f>1+0+4</f>
        <v>5</v>
      </c>
      <c r="J18">
        <f>8+7+5</f>
        <v>20</v>
      </c>
      <c r="K18">
        <f>3+6+5</f>
        <v>14</v>
      </c>
      <c r="L18">
        <f t="shared" si="1"/>
        <v>61</v>
      </c>
    </row>
    <row r="19" spans="1:12" x14ac:dyDescent="0.25">
      <c r="A19">
        <v>18</v>
      </c>
      <c r="B19" t="s">
        <v>108</v>
      </c>
      <c r="C19" t="s">
        <v>94</v>
      </c>
      <c r="D19" t="s">
        <v>6</v>
      </c>
      <c r="E19" t="s">
        <v>4</v>
      </c>
      <c r="F19" t="s">
        <v>5</v>
      </c>
      <c r="G19">
        <f t="shared" si="0"/>
        <v>357</v>
      </c>
      <c r="H19">
        <f>7+10+7</f>
        <v>24</v>
      </c>
      <c r="I19">
        <f>1+1+2</f>
        <v>4</v>
      </c>
      <c r="J19">
        <f>7+4+6</f>
        <v>17</v>
      </c>
      <c r="K19">
        <f>5+6+6</f>
        <v>17</v>
      </c>
      <c r="L19">
        <f t="shared" si="1"/>
        <v>62</v>
      </c>
    </row>
    <row r="20" spans="1:12" x14ac:dyDescent="0.25">
      <c r="A20">
        <v>19</v>
      </c>
      <c r="B20" t="s">
        <v>135</v>
      </c>
      <c r="C20" t="s">
        <v>191</v>
      </c>
      <c r="D20" t="s">
        <v>6</v>
      </c>
      <c r="E20" t="s">
        <v>4</v>
      </c>
      <c r="F20" t="s">
        <v>5</v>
      </c>
      <c r="G20">
        <f t="shared" si="0"/>
        <v>356</v>
      </c>
      <c r="H20">
        <f>7+9+9</f>
        <v>25</v>
      </c>
      <c r="I20">
        <f>2+4+1</f>
        <v>7</v>
      </c>
      <c r="J20">
        <f>3+3+4</f>
        <v>10</v>
      </c>
      <c r="K20">
        <f>8+5+6</f>
        <v>19</v>
      </c>
      <c r="L20">
        <f t="shared" si="1"/>
        <v>61</v>
      </c>
    </row>
    <row r="21" spans="1:12" x14ac:dyDescent="0.25">
      <c r="A21">
        <v>20</v>
      </c>
      <c r="B21" t="s">
        <v>47</v>
      </c>
      <c r="C21" t="s">
        <v>39</v>
      </c>
      <c r="D21" t="s">
        <v>6</v>
      </c>
      <c r="E21" t="s">
        <v>4</v>
      </c>
      <c r="F21" t="s">
        <v>5</v>
      </c>
      <c r="G21">
        <f t="shared" si="0"/>
        <v>352</v>
      </c>
      <c r="H21">
        <f>6+11+8</f>
        <v>25</v>
      </c>
      <c r="I21">
        <f>0+2+2</f>
        <v>4</v>
      </c>
      <c r="J21">
        <f>6+4+4</f>
        <v>14</v>
      </c>
      <c r="K21">
        <f>8+4+6</f>
        <v>18</v>
      </c>
      <c r="L21">
        <f t="shared" si="1"/>
        <v>61</v>
      </c>
    </row>
    <row r="22" spans="1:12" x14ac:dyDescent="0.25">
      <c r="A22">
        <v>21</v>
      </c>
      <c r="B22" t="s">
        <v>82</v>
      </c>
      <c r="C22" t="s">
        <v>76</v>
      </c>
      <c r="D22" t="s">
        <v>6</v>
      </c>
      <c r="E22" t="s">
        <v>4</v>
      </c>
      <c r="F22" t="s">
        <v>5</v>
      </c>
      <c r="G22">
        <f t="shared" si="0"/>
        <v>347</v>
      </c>
      <c r="H22">
        <f>11+8+7</f>
        <v>26</v>
      </c>
      <c r="I22">
        <f>0+1+3</f>
        <v>4</v>
      </c>
      <c r="J22">
        <f>3+4+4</f>
        <v>11</v>
      </c>
      <c r="K22">
        <f>6+7+6</f>
        <v>19</v>
      </c>
      <c r="L22">
        <f t="shared" si="1"/>
        <v>60</v>
      </c>
    </row>
    <row r="23" spans="1:12" x14ac:dyDescent="0.25">
      <c r="A23">
        <v>22</v>
      </c>
      <c r="B23" t="s">
        <v>166</v>
      </c>
      <c r="C23" t="s">
        <v>114</v>
      </c>
      <c r="D23" t="s">
        <v>6</v>
      </c>
      <c r="E23" t="s">
        <v>4</v>
      </c>
      <c r="F23" t="s">
        <v>5</v>
      </c>
      <c r="G23">
        <f t="shared" si="0"/>
        <v>345</v>
      </c>
      <c r="H23">
        <f>7+7+7</f>
        <v>21</v>
      </c>
      <c r="I23">
        <f>2+0+3</f>
        <v>5</v>
      </c>
      <c r="J23">
        <f>7+6+6</f>
        <v>19</v>
      </c>
      <c r="K23">
        <f>4+7+5</f>
        <v>16</v>
      </c>
      <c r="L23">
        <f t="shared" si="1"/>
        <v>61</v>
      </c>
    </row>
    <row r="24" spans="1:12" x14ac:dyDescent="0.25">
      <c r="A24">
        <v>23</v>
      </c>
      <c r="B24" t="s">
        <v>84</v>
      </c>
      <c r="C24" t="s">
        <v>71</v>
      </c>
      <c r="D24" t="s">
        <v>6</v>
      </c>
      <c r="E24" t="s">
        <v>4</v>
      </c>
      <c r="F24" t="s">
        <v>5</v>
      </c>
      <c r="G24">
        <f t="shared" si="0"/>
        <v>343</v>
      </c>
      <c r="H24">
        <f>10+4+10</f>
        <v>24</v>
      </c>
      <c r="I24">
        <f>1+0+0</f>
        <v>1</v>
      </c>
      <c r="J24">
        <f>4+7+8</f>
        <v>19</v>
      </c>
      <c r="K24">
        <f>6+9+3</f>
        <v>18</v>
      </c>
      <c r="L24">
        <f t="shared" si="1"/>
        <v>62</v>
      </c>
    </row>
    <row r="25" spans="1:12" x14ac:dyDescent="0.25">
      <c r="A25">
        <v>24</v>
      </c>
      <c r="B25" t="s">
        <v>109</v>
      </c>
      <c r="C25" t="s">
        <v>94</v>
      </c>
      <c r="D25" t="s">
        <v>6</v>
      </c>
      <c r="E25" t="s">
        <v>4</v>
      </c>
      <c r="F25" t="s">
        <v>5</v>
      </c>
      <c r="G25">
        <f t="shared" si="0"/>
        <v>338</v>
      </c>
      <c r="H25">
        <f>9+6+8</f>
        <v>23</v>
      </c>
      <c r="I25">
        <f>1+2+3</f>
        <v>6</v>
      </c>
      <c r="J25">
        <f>6+2+4</f>
        <v>12</v>
      </c>
      <c r="K25">
        <f>5+11+6</f>
        <v>22</v>
      </c>
      <c r="L25">
        <f t="shared" si="1"/>
        <v>63</v>
      </c>
    </row>
    <row r="26" spans="1:12" x14ac:dyDescent="0.25">
      <c r="A26">
        <v>25</v>
      </c>
      <c r="B26" t="s">
        <v>214</v>
      </c>
      <c r="C26" t="s">
        <v>215</v>
      </c>
      <c r="D26" t="s">
        <v>6</v>
      </c>
      <c r="E26" t="s">
        <v>4</v>
      </c>
      <c r="F26" t="s">
        <v>5</v>
      </c>
      <c r="G26">
        <f t="shared" si="0"/>
        <v>338</v>
      </c>
      <c r="H26">
        <f>8+6+10</f>
        <v>24</v>
      </c>
      <c r="I26">
        <f>2+3+1</f>
        <v>6</v>
      </c>
      <c r="J26">
        <f>2+3+5</f>
        <v>10</v>
      </c>
      <c r="K26">
        <f>9+9+5</f>
        <v>23</v>
      </c>
      <c r="L26">
        <f t="shared" si="1"/>
        <v>63</v>
      </c>
    </row>
    <row r="27" spans="1:12" x14ac:dyDescent="0.25">
      <c r="A27">
        <v>26</v>
      </c>
      <c r="B27" t="s">
        <v>145</v>
      </c>
      <c r="C27" t="s">
        <v>142</v>
      </c>
      <c r="D27" t="s">
        <v>6</v>
      </c>
      <c r="E27" t="s">
        <v>4</v>
      </c>
      <c r="F27" t="s">
        <v>5</v>
      </c>
      <c r="G27">
        <f t="shared" si="0"/>
        <v>331</v>
      </c>
      <c r="H27">
        <f>8+7+9</f>
        <v>24</v>
      </c>
      <c r="I27">
        <f>0+1+1</f>
        <v>2</v>
      </c>
      <c r="J27">
        <f>5+6+4</f>
        <v>15</v>
      </c>
      <c r="K27">
        <f>7+7+6</f>
        <v>20</v>
      </c>
      <c r="L27">
        <f t="shared" si="1"/>
        <v>61</v>
      </c>
    </row>
    <row r="28" spans="1:12" x14ac:dyDescent="0.25">
      <c r="A28">
        <v>27</v>
      </c>
      <c r="B28" t="s">
        <v>120</v>
      </c>
      <c r="C28" t="s">
        <v>227</v>
      </c>
      <c r="D28" t="s">
        <v>6</v>
      </c>
      <c r="E28" t="s">
        <v>4</v>
      </c>
      <c r="F28" t="s">
        <v>5</v>
      </c>
      <c r="G28">
        <f t="shared" si="0"/>
        <v>328</v>
      </c>
      <c r="H28">
        <f>10+4+7</f>
        <v>21</v>
      </c>
      <c r="I28">
        <f>1+4+1</f>
        <v>6</v>
      </c>
      <c r="J28">
        <f>4+5+5</f>
        <v>14</v>
      </c>
      <c r="K28">
        <f>5+7+7</f>
        <v>19</v>
      </c>
      <c r="L28">
        <f t="shared" si="1"/>
        <v>60</v>
      </c>
    </row>
    <row r="29" spans="1:12" x14ac:dyDescent="0.25">
      <c r="A29">
        <v>28</v>
      </c>
      <c r="B29" t="s">
        <v>156</v>
      </c>
      <c r="C29" t="s">
        <v>17</v>
      </c>
      <c r="D29" t="s">
        <v>6</v>
      </c>
      <c r="E29" t="s">
        <v>4</v>
      </c>
      <c r="F29" t="s">
        <v>5</v>
      </c>
      <c r="G29">
        <f t="shared" si="0"/>
        <v>327</v>
      </c>
      <c r="H29">
        <f>10+7+6</f>
        <v>23</v>
      </c>
      <c r="I29">
        <f>2+2+0</f>
        <v>4</v>
      </c>
      <c r="J29">
        <f>3+5+5</f>
        <v>13</v>
      </c>
      <c r="K29">
        <f>6+6+10</f>
        <v>22</v>
      </c>
      <c r="L29">
        <f t="shared" si="1"/>
        <v>62</v>
      </c>
    </row>
    <row r="30" spans="1:12" x14ac:dyDescent="0.25">
      <c r="A30">
        <v>29</v>
      </c>
      <c r="B30" t="s">
        <v>90</v>
      </c>
      <c r="C30" t="s">
        <v>87</v>
      </c>
      <c r="D30" t="s">
        <v>6</v>
      </c>
      <c r="E30" t="s">
        <v>4</v>
      </c>
      <c r="F30" t="s">
        <v>5</v>
      </c>
      <c r="G30">
        <f t="shared" si="0"/>
        <v>324</v>
      </c>
      <c r="H30">
        <f>8+8+6</f>
        <v>22</v>
      </c>
      <c r="I30">
        <f>1+1+1</f>
        <v>3</v>
      </c>
      <c r="J30">
        <f>5+4+7</f>
        <v>16</v>
      </c>
      <c r="K30">
        <f>6+7+6</f>
        <v>19</v>
      </c>
      <c r="L30">
        <f t="shared" si="1"/>
        <v>60</v>
      </c>
    </row>
    <row r="31" spans="1:12" x14ac:dyDescent="0.25">
      <c r="A31">
        <v>30</v>
      </c>
      <c r="B31" t="s">
        <v>226</v>
      </c>
      <c r="C31" t="s">
        <v>56</v>
      </c>
      <c r="D31" t="s">
        <v>6</v>
      </c>
      <c r="E31" t="s">
        <v>4</v>
      </c>
      <c r="F31" t="s">
        <v>5</v>
      </c>
      <c r="G31">
        <f t="shared" si="0"/>
        <v>321</v>
      </c>
      <c r="H31">
        <f>6+9+6</f>
        <v>21</v>
      </c>
      <c r="I31">
        <f>1+1+0</f>
        <v>2</v>
      </c>
      <c r="J31">
        <f>7+6+6</f>
        <v>19</v>
      </c>
      <c r="K31">
        <f>6+5+8</f>
        <v>19</v>
      </c>
      <c r="L31">
        <f t="shared" si="1"/>
        <v>61</v>
      </c>
    </row>
    <row r="32" spans="1:12" x14ac:dyDescent="0.25">
      <c r="A32">
        <v>31</v>
      </c>
      <c r="B32" t="s">
        <v>97</v>
      </c>
      <c r="C32" t="s">
        <v>94</v>
      </c>
      <c r="D32" t="s">
        <v>6</v>
      </c>
      <c r="E32" t="s">
        <v>4</v>
      </c>
      <c r="F32" t="s">
        <v>5</v>
      </c>
      <c r="G32">
        <f t="shared" si="0"/>
        <v>316</v>
      </c>
      <c r="H32">
        <f>9+4+8</f>
        <v>21</v>
      </c>
      <c r="I32">
        <f>1+4+2</f>
        <v>7</v>
      </c>
      <c r="J32">
        <f>3+3+4</f>
        <v>10</v>
      </c>
      <c r="K32">
        <f>7+9+6</f>
        <v>22</v>
      </c>
      <c r="L32">
        <f t="shared" si="1"/>
        <v>60</v>
      </c>
    </row>
    <row r="33" spans="1:12" x14ac:dyDescent="0.25">
      <c r="A33">
        <v>32</v>
      </c>
      <c r="B33" t="s">
        <v>36</v>
      </c>
      <c r="C33" t="s">
        <v>37</v>
      </c>
      <c r="D33" t="s">
        <v>6</v>
      </c>
      <c r="E33" t="s">
        <v>4</v>
      </c>
      <c r="F33" t="s">
        <v>5</v>
      </c>
      <c r="G33">
        <f t="shared" si="0"/>
        <v>311</v>
      </c>
      <c r="H33">
        <f>9+5+8</f>
        <v>22</v>
      </c>
      <c r="I33">
        <f>0+0+2</f>
        <v>2</v>
      </c>
      <c r="J33">
        <f>5+5+5</f>
        <v>15</v>
      </c>
      <c r="K33">
        <f>7+11+6</f>
        <v>24</v>
      </c>
      <c r="L33">
        <f t="shared" si="1"/>
        <v>63</v>
      </c>
    </row>
    <row r="34" spans="1:12" x14ac:dyDescent="0.25">
      <c r="A34">
        <v>33</v>
      </c>
      <c r="B34" t="s">
        <v>129</v>
      </c>
      <c r="C34" t="s">
        <v>126</v>
      </c>
      <c r="D34" t="s">
        <v>6</v>
      </c>
      <c r="E34" t="s">
        <v>4</v>
      </c>
      <c r="F34" t="s">
        <v>5</v>
      </c>
      <c r="G34">
        <f t="shared" ref="G34:G65" si="2">+H34*10+I34*8+J34*5</f>
        <v>309</v>
      </c>
      <c r="H34">
        <f>8+6+7</f>
        <v>21</v>
      </c>
      <c r="I34">
        <f>0+3+0</f>
        <v>3</v>
      </c>
      <c r="J34">
        <f>7+3+5</f>
        <v>15</v>
      </c>
      <c r="K34">
        <f>6+9+8</f>
        <v>23</v>
      </c>
      <c r="L34">
        <f t="shared" ref="L34:L65" si="3">SUM(H34:K34)</f>
        <v>62</v>
      </c>
    </row>
    <row r="35" spans="1:12" x14ac:dyDescent="0.25">
      <c r="A35">
        <v>34</v>
      </c>
      <c r="B35" t="s">
        <v>117</v>
      </c>
      <c r="C35" t="s">
        <v>227</v>
      </c>
      <c r="D35" t="s">
        <v>6</v>
      </c>
      <c r="E35" t="s">
        <v>4</v>
      </c>
      <c r="F35" t="s">
        <v>5</v>
      </c>
      <c r="G35">
        <f t="shared" si="2"/>
        <v>299</v>
      </c>
      <c r="H35">
        <f>5+6+5</f>
        <v>16</v>
      </c>
      <c r="I35">
        <f>3+2+3</f>
        <v>8</v>
      </c>
      <c r="J35">
        <f>5+6+4</f>
        <v>15</v>
      </c>
      <c r="K35">
        <f>7+7+8</f>
        <v>22</v>
      </c>
      <c r="L35">
        <f t="shared" si="3"/>
        <v>61</v>
      </c>
    </row>
    <row r="36" spans="1:12" x14ac:dyDescent="0.25">
      <c r="A36">
        <v>35</v>
      </c>
      <c r="B36" t="s">
        <v>204</v>
      </c>
      <c r="C36" t="s">
        <v>39</v>
      </c>
      <c r="D36" t="s">
        <v>6</v>
      </c>
      <c r="E36" t="s">
        <v>4</v>
      </c>
      <c r="F36" t="s">
        <v>5</v>
      </c>
      <c r="G36">
        <f t="shared" si="2"/>
        <v>297</v>
      </c>
      <c r="H36">
        <f>5+4+7</f>
        <v>16</v>
      </c>
      <c r="I36">
        <f>1+1+2</f>
        <v>4</v>
      </c>
      <c r="J36">
        <f>9+7+5</f>
        <v>21</v>
      </c>
      <c r="K36">
        <f>6+8+5</f>
        <v>19</v>
      </c>
      <c r="L36">
        <f t="shared" si="3"/>
        <v>60</v>
      </c>
    </row>
    <row r="37" spans="1:12" x14ac:dyDescent="0.25">
      <c r="A37">
        <v>36</v>
      </c>
      <c r="B37" t="s">
        <v>163</v>
      </c>
      <c r="C37" t="s">
        <v>114</v>
      </c>
      <c r="D37" t="s">
        <v>6</v>
      </c>
      <c r="E37" t="s">
        <v>4</v>
      </c>
      <c r="F37" t="s">
        <v>5</v>
      </c>
      <c r="G37">
        <f t="shared" si="2"/>
        <v>294</v>
      </c>
      <c r="H37">
        <f>8+5+6</f>
        <v>19</v>
      </c>
      <c r="I37">
        <f>1+2+0</f>
        <v>3</v>
      </c>
      <c r="J37">
        <f>5+6+5</f>
        <v>16</v>
      </c>
      <c r="K37">
        <f>7+7+9</f>
        <v>23</v>
      </c>
      <c r="L37">
        <f t="shared" si="3"/>
        <v>61</v>
      </c>
    </row>
    <row r="38" spans="1:12" x14ac:dyDescent="0.25">
      <c r="A38">
        <v>37</v>
      </c>
      <c r="B38" t="s">
        <v>158</v>
      </c>
      <c r="C38" t="s">
        <v>159</v>
      </c>
      <c r="D38" t="s">
        <v>6</v>
      </c>
      <c r="E38" t="s">
        <v>4</v>
      </c>
      <c r="F38" t="s">
        <v>5</v>
      </c>
      <c r="G38">
        <f t="shared" si="2"/>
        <v>288</v>
      </c>
      <c r="H38">
        <f>7+6+5</f>
        <v>18</v>
      </c>
      <c r="I38">
        <f>1+3+2</f>
        <v>6</v>
      </c>
      <c r="J38">
        <f>3+3+6</f>
        <v>12</v>
      </c>
      <c r="K38">
        <f>9+9+7</f>
        <v>25</v>
      </c>
      <c r="L38">
        <f t="shared" si="3"/>
        <v>61</v>
      </c>
    </row>
    <row r="39" spans="1:12" x14ac:dyDescent="0.25">
      <c r="A39">
        <v>38</v>
      </c>
      <c r="B39" t="s">
        <v>216</v>
      </c>
      <c r="C39" t="s">
        <v>142</v>
      </c>
      <c r="D39" t="s">
        <v>6</v>
      </c>
      <c r="E39" t="s">
        <v>4</v>
      </c>
      <c r="F39" t="s">
        <v>5</v>
      </c>
      <c r="G39">
        <f t="shared" si="2"/>
        <v>286</v>
      </c>
      <c r="H39">
        <f>6+6+6</f>
        <v>18</v>
      </c>
      <c r="I39">
        <f>1+1+0</f>
        <v>2</v>
      </c>
      <c r="J39">
        <f>5+5+8</f>
        <v>18</v>
      </c>
      <c r="K39">
        <f>8+8+7</f>
        <v>23</v>
      </c>
      <c r="L39">
        <f t="shared" si="3"/>
        <v>61</v>
      </c>
    </row>
    <row r="40" spans="1:12" x14ac:dyDescent="0.25">
      <c r="A40">
        <v>39</v>
      </c>
      <c r="B40" t="s">
        <v>187</v>
      </c>
      <c r="C40" t="s">
        <v>76</v>
      </c>
      <c r="D40" t="s">
        <v>6</v>
      </c>
      <c r="E40" t="s">
        <v>4</v>
      </c>
      <c r="F40" t="s">
        <v>5</v>
      </c>
      <c r="G40">
        <f t="shared" si="2"/>
        <v>284</v>
      </c>
      <c r="H40">
        <f>7+5+9</f>
        <v>21</v>
      </c>
      <c r="I40">
        <f>2+0+1</f>
        <v>3</v>
      </c>
      <c r="J40">
        <f>4+4+2</f>
        <v>10</v>
      </c>
      <c r="K40">
        <f>8+11+9</f>
        <v>28</v>
      </c>
      <c r="L40">
        <f t="shared" si="3"/>
        <v>62</v>
      </c>
    </row>
    <row r="41" spans="1:12" x14ac:dyDescent="0.25">
      <c r="A41">
        <v>40</v>
      </c>
      <c r="B41" t="s">
        <v>175</v>
      </c>
      <c r="C41" t="s">
        <v>174</v>
      </c>
      <c r="D41" t="s">
        <v>6</v>
      </c>
      <c r="E41" t="s">
        <v>4</v>
      </c>
      <c r="F41" t="s">
        <v>5</v>
      </c>
      <c r="G41">
        <f t="shared" si="2"/>
        <v>274</v>
      </c>
      <c r="H41">
        <f>6+7+4</f>
        <v>17</v>
      </c>
      <c r="I41">
        <f>0+2+1</f>
        <v>3</v>
      </c>
      <c r="J41">
        <f>6+5+5</f>
        <v>16</v>
      </c>
      <c r="K41">
        <f>8+6+10</f>
        <v>24</v>
      </c>
      <c r="L41">
        <f t="shared" si="3"/>
        <v>60</v>
      </c>
    </row>
    <row r="42" spans="1:12" x14ac:dyDescent="0.25">
      <c r="A42">
        <v>41</v>
      </c>
      <c r="B42" t="s">
        <v>57</v>
      </c>
      <c r="C42" t="s">
        <v>56</v>
      </c>
      <c r="D42" t="s">
        <v>6</v>
      </c>
      <c r="E42" t="s">
        <v>4</v>
      </c>
      <c r="F42" t="s">
        <v>5</v>
      </c>
      <c r="G42">
        <f t="shared" si="2"/>
        <v>267</v>
      </c>
      <c r="H42">
        <f>4+8+6</f>
        <v>18</v>
      </c>
      <c r="I42">
        <f>1+2+1</f>
        <v>4</v>
      </c>
      <c r="J42">
        <f>3+3+5</f>
        <v>11</v>
      </c>
      <c r="K42">
        <f>12+7+8</f>
        <v>27</v>
      </c>
      <c r="L42">
        <f t="shared" si="3"/>
        <v>60</v>
      </c>
    </row>
    <row r="43" spans="1:12" x14ac:dyDescent="0.25">
      <c r="A43">
        <v>42</v>
      </c>
      <c r="B43" t="s">
        <v>162</v>
      </c>
      <c r="C43" t="s">
        <v>114</v>
      </c>
      <c r="D43" t="s">
        <v>6</v>
      </c>
      <c r="E43" t="s">
        <v>4</v>
      </c>
      <c r="F43" t="s">
        <v>5</v>
      </c>
      <c r="G43">
        <f t="shared" si="2"/>
        <v>267</v>
      </c>
      <c r="H43">
        <f>5+5+4</f>
        <v>14</v>
      </c>
      <c r="I43">
        <f>3+1+0</f>
        <v>4</v>
      </c>
      <c r="J43">
        <f>5+8+6</f>
        <v>19</v>
      </c>
      <c r="K43">
        <f>7+6+10</f>
        <v>23</v>
      </c>
      <c r="L43">
        <f t="shared" si="3"/>
        <v>60</v>
      </c>
    </row>
    <row r="44" spans="1:12" x14ac:dyDescent="0.25">
      <c r="A44">
        <v>43</v>
      </c>
      <c r="B44" t="s">
        <v>124</v>
      </c>
      <c r="C44" t="s">
        <v>227</v>
      </c>
      <c r="D44" t="s">
        <v>6</v>
      </c>
      <c r="E44" t="s">
        <v>4</v>
      </c>
      <c r="F44" t="s">
        <v>5</v>
      </c>
      <c r="G44">
        <f t="shared" si="2"/>
        <v>267</v>
      </c>
      <c r="H44">
        <f>6+4+5</f>
        <v>15</v>
      </c>
      <c r="I44">
        <f>1+1+2</f>
        <v>4</v>
      </c>
      <c r="J44">
        <f>4+7+6</f>
        <v>17</v>
      </c>
      <c r="K44">
        <f>9+8+7</f>
        <v>24</v>
      </c>
      <c r="L44">
        <f t="shared" si="3"/>
        <v>60</v>
      </c>
    </row>
    <row r="45" spans="1:12" x14ac:dyDescent="0.25">
      <c r="A45">
        <v>44</v>
      </c>
      <c r="B45" t="s">
        <v>85</v>
      </c>
      <c r="C45" t="s">
        <v>37</v>
      </c>
      <c r="D45" t="s">
        <v>6</v>
      </c>
      <c r="E45" t="s">
        <v>4</v>
      </c>
      <c r="F45" t="s">
        <v>5</v>
      </c>
      <c r="G45">
        <f t="shared" si="2"/>
        <v>260</v>
      </c>
      <c r="H45">
        <f>7+6+4</f>
        <v>17</v>
      </c>
      <c r="I45">
        <f>2+1+2</f>
        <v>5</v>
      </c>
      <c r="J45">
        <f>3+4+3</f>
        <v>10</v>
      </c>
      <c r="K45">
        <f>8+9+11</f>
        <v>28</v>
      </c>
      <c r="L45">
        <f t="shared" si="3"/>
        <v>60</v>
      </c>
    </row>
    <row r="46" spans="1:12" x14ac:dyDescent="0.25">
      <c r="A46">
        <v>45</v>
      </c>
      <c r="B46" t="s">
        <v>77</v>
      </c>
      <c r="C46" t="s">
        <v>76</v>
      </c>
      <c r="D46" t="s">
        <v>6</v>
      </c>
      <c r="E46" t="s">
        <v>4</v>
      </c>
      <c r="F46" t="s">
        <v>5</v>
      </c>
      <c r="G46">
        <f t="shared" si="2"/>
        <v>243</v>
      </c>
      <c r="H46">
        <f>6+4+4</f>
        <v>14</v>
      </c>
      <c r="I46">
        <f>1+0+0</f>
        <v>1</v>
      </c>
      <c r="J46">
        <f>7+6+6</f>
        <v>19</v>
      </c>
      <c r="K46">
        <f>6+10+11</f>
        <v>27</v>
      </c>
      <c r="L46">
        <f t="shared" si="3"/>
        <v>61</v>
      </c>
    </row>
    <row r="47" spans="1:12" x14ac:dyDescent="0.25">
      <c r="A47">
        <v>46</v>
      </c>
      <c r="B47" t="s">
        <v>118</v>
      </c>
      <c r="C47" t="s">
        <v>227</v>
      </c>
      <c r="D47" t="s">
        <v>6</v>
      </c>
      <c r="E47" t="s">
        <v>4</v>
      </c>
      <c r="F47" t="s">
        <v>5</v>
      </c>
      <c r="G47">
        <f t="shared" si="2"/>
        <v>231</v>
      </c>
      <c r="H47">
        <f>5+5+5</f>
        <v>15</v>
      </c>
      <c r="I47">
        <f>1+1+0</f>
        <v>2</v>
      </c>
      <c r="J47">
        <f>5+6+2</f>
        <v>13</v>
      </c>
      <c r="K47">
        <f>10+9+13</f>
        <v>32</v>
      </c>
      <c r="L47">
        <f t="shared" si="3"/>
        <v>62</v>
      </c>
    </row>
    <row r="48" spans="1:12" x14ac:dyDescent="0.25">
      <c r="A48">
        <v>47</v>
      </c>
      <c r="B48" t="s">
        <v>150</v>
      </c>
      <c r="C48" t="s">
        <v>142</v>
      </c>
      <c r="D48" t="s">
        <v>6</v>
      </c>
      <c r="E48" t="s">
        <v>4</v>
      </c>
      <c r="F48" t="s">
        <v>5</v>
      </c>
      <c r="G48">
        <f t="shared" si="2"/>
        <v>231</v>
      </c>
      <c r="H48">
        <f>5+4+4</f>
        <v>13</v>
      </c>
      <c r="I48">
        <f>1+1+0</f>
        <v>2</v>
      </c>
      <c r="J48">
        <f>4+5+8</f>
        <v>17</v>
      </c>
      <c r="K48">
        <f>10+10+8</f>
        <v>28</v>
      </c>
      <c r="L48">
        <f t="shared" si="3"/>
        <v>60</v>
      </c>
    </row>
    <row r="49" spans="1:12" x14ac:dyDescent="0.25">
      <c r="A49">
        <v>48</v>
      </c>
      <c r="B49" t="s">
        <v>88</v>
      </c>
      <c r="C49" t="s">
        <v>87</v>
      </c>
      <c r="D49" t="s">
        <v>6</v>
      </c>
      <c r="E49" t="s">
        <v>4</v>
      </c>
      <c r="F49" t="s">
        <v>5</v>
      </c>
      <c r="G49">
        <f t="shared" si="2"/>
        <v>227</v>
      </c>
      <c r="H49">
        <f>5+4+5</f>
        <v>14</v>
      </c>
      <c r="I49">
        <f>2+1+1</f>
        <v>4</v>
      </c>
      <c r="J49">
        <f>4+3+4</f>
        <v>11</v>
      </c>
      <c r="K49">
        <f>9+12+10</f>
        <v>31</v>
      </c>
      <c r="L49">
        <f t="shared" si="3"/>
        <v>60</v>
      </c>
    </row>
    <row r="50" spans="1:12" x14ac:dyDescent="0.25">
      <c r="A50">
        <v>49</v>
      </c>
      <c r="B50" t="s">
        <v>143</v>
      </c>
      <c r="C50" t="s">
        <v>142</v>
      </c>
      <c r="D50" t="s">
        <v>6</v>
      </c>
      <c r="E50" t="s">
        <v>4</v>
      </c>
      <c r="F50" t="s">
        <v>5</v>
      </c>
      <c r="G50">
        <f t="shared" si="2"/>
        <v>224</v>
      </c>
      <c r="H50">
        <f>4+4+6</f>
        <v>14</v>
      </c>
      <c r="I50">
        <f>0+2+1</f>
        <v>3</v>
      </c>
      <c r="J50">
        <f>3+6+3</f>
        <v>12</v>
      </c>
      <c r="K50">
        <f>13+8+11</f>
        <v>32</v>
      </c>
      <c r="L50">
        <f t="shared" si="3"/>
        <v>61</v>
      </c>
    </row>
    <row r="51" spans="1:12" x14ac:dyDescent="0.25">
      <c r="A51">
        <v>50</v>
      </c>
      <c r="B51" t="s">
        <v>165</v>
      </c>
      <c r="C51" t="s">
        <v>114</v>
      </c>
      <c r="D51" t="s">
        <v>6</v>
      </c>
      <c r="E51" t="s">
        <v>4</v>
      </c>
      <c r="F51" t="s">
        <v>5</v>
      </c>
      <c r="G51">
        <f t="shared" si="2"/>
        <v>221</v>
      </c>
      <c r="H51">
        <f>2+5+4</f>
        <v>11</v>
      </c>
      <c r="I51">
        <f>1+0+1</f>
        <v>2</v>
      </c>
      <c r="J51">
        <f>5+6+8</f>
        <v>19</v>
      </c>
      <c r="K51">
        <f>12+10+8</f>
        <v>30</v>
      </c>
      <c r="L51">
        <f t="shared" si="3"/>
        <v>62</v>
      </c>
    </row>
    <row r="52" spans="1:12" x14ac:dyDescent="0.25">
      <c r="A52">
        <v>51</v>
      </c>
      <c r="B52" t="s">
        <v>58</v>
      </c>
      <c r="C52" t="s">
        <v>56</v>
      </c>
      <c r="D52" t="s">
        <v>6</v>
      </c>
      <c r="E52" t="s">
        <v>4</v>
      </c>
      <c r="F52" t="s">
        <v>5</v>
      </c>
      <c r="G52">
        <f t="shared" si="2"/>
        <v>212</v>
      </c>
      <c r="H52">
        <f>4+3+6</f>
        <v>13</v>
      </c>
      <c r="I52">
        <f>2+1+1</f>
        <v>4</v>
      </c>
      <c r="J52">
        <f>3+3+4</f>
        <v>10</v>
      </c>
      <c r="K52">
        <f>11+13+10</f>
        <v>34</v>
      </c>
      <c r="L52">
        <f t="shared" si="3"/>
        <v>61</v>
      </c>
    </row>
    <row r="53" spans="1:12" x14ac:dyDescent="0.25">
      <c r="A53">
        <v>52</v>
      </c>
      <c r="B53" t="s">
        <v>64</v>
      </c>
      <c r="C53" t="s">
        <v>62</v>
      </c>
      <c r="D53" t="s">
        <v>6</v>
      </c>
      <c r="E53" t="s">
        <v>4</v>
      </c>
      <c r="F53" t="s">
        <v>5</v>
      </c>
      <c r="G53">
        <f t="shared" si="2"/>
        <v>210</v>
      </c>
      <c r="H53">
        <f>3+2+5</f>
        <v>10</v>
      </c>
      <c r="I53">
        <f>2+2+1</f>
        <v>5</v>
      </c>
      <c r="J53">
        <f>4+4+6</f>
        <v>14</v>
      </c>
      <c r="K53">
        <f>11+12+9</f>
        <v>32</v>
      </c>
      <c r="L53">
        <f t="shared" si="3"/>
        <v>61</v>
      </c>
    </row>
    <row r="54" spans="1:12" x14ac:dyDescent="0.25">
      <c r="A54">
        <v>53</v>
      </c>
      <c r="B54" t="s">
        <v>81</v>
      </c>
      <c r="C54" t="s">
        <v>76</v>
      </c>
      <c r="D54" t="s">
        <v>6</v>
      </c>
      <c r="E54" t="s">
        <v>4</v>
      </c>
      <c r="F54" t="s">
        <v>5</v>
      </c>
      <c r="G54">
        <f t="shared" si="2"/>
        <v>210</v>
      </c>
      <c r="H54">
        <f>4+4+3</f>
        <v>11</v>
      </c>
      <c r="I54">
        <f>0+0+0</f>
        <v>0</v>
      </c>
      <c r="J54">
        <f>7+6+7</f>
        <v>20</v>
      </c>
      <c r="K54">
        <f>10+10+11</f>
        <v>31</v>
      </c>
      <c r="L54">
        <f t="shared" si="3"/>
        <v>62</v>
      </c>
    </row>
    <row r="55" spans="1:12" x14ac:dyDescent="0.25">
      <c r="A55">
        <v>54</v>
      </c>
      <c r="B55" t="s">
        <v>152</v>
      </c>
      <c r="C55" t="s">
        <v>142</v>
      </c>
      <c r="D55" t="s">
        <v>6</v>
      </c>
      <c r="E55" t="s">
        <v>4</v>
      </c>
      <c r="F55" t="s">
        <v>5</v>
      </c>
      <c r="G55">
        <f t="shared" si="2"/>
        <v>189</v>
      </c>
      <c r="H55">
        <f>0+6+4</f>
        <v>10</v>
      </c>
      <c r="I55">
        <f>1+0+2</f>
        <v>3</v>
      </c>
      <c r="J55">
        <f>6+3+4</f>
        <v>13</v>
      </c>
      <c r="K55">
        <f>13+11+11</f>
        <v>35</v>
      </c>
      <c r="L55">
        <f t="shared" si="3"/>
        <v>61</v>
      </c>
    </row>
    <row r="56" spans="1:12" x14ac:dyDescent="0.25">
      <c r="A56">
        <v>55</v>
      </c>
      <c r="B56" t="s">
        <v>70</v>
      </c>
      <c r="C56" t="s">
        <v>227</v>
      </c>
      <c r="D56" t="s">
        <v>6</v>
      </c>
      <c r="E56" t="s">
        <v>4</v>
      </c>
      <c r="F56" t="s">
        <v>5</v>
      </c>
      <c r="G56">
        <f t="shared" si="2"/>
        <v>186</v>
      </c>
      <c r="H56">
        <f>4+3+4</f>
        <v>11</v>
      </c>
      <c r="I56">
        <f>0+1+1</f>
        <v>2</v>
      </c>
      <c r="J56">
        <f>5+4+3</f>
        <v>12</v>
      </c>
      <c r="K56">
        <f>12+12+11</f>
        <v>35</v>
      </c>
      <c r="L56">
        <f t="shared" si="3"/>
        <v>60</v>
      </c>
    </row>
    <row r="57" spans="1:12" x14ac:dyDescent="0.25">
      <c r="A57">
        <v>56</v>
      </c>
      <c r="B57" t="s">
        <v>78</v>
      </c>
      <c r="C57" t="s">
        <v>76</v>
      </c>
      <c r="D57" t="s">
        <v>6</v>
      </c>
      <c r="E57" t="s">
        <v>4</v>
      </c>
      <c r="F57" t="s">
        <v>5</v>
      </c>
      <c r="G57">
        <f t="shared" si="2"/>
        <v>184</v>
      </c>
      <c r="H57">
        <f>4+3+2</f>
        <v>9</v>
      </c>
      <c r="I57">
        <f>2+1+0</f>
        <v>3</v>
      </c>
      <c r="J57">
        <f>5+5+4</f>
        <v>14</v>
      </c>
      <c r="K57">
        <f>9+11+14</f>
        <v>34</v>
      </c>
      <c r="L57">
        <f t="shared" si="3"/>
        <v>60</v>
      </c>
    </row>
    <row r="58" spans="1:12" x14ac:dyDescent="0.25">
      <c r="A58">
        <v>57</v>
      </c>
      <c r="B58" t="s">
        <v>200</v>
      </c>
      <c r="C58" t="s">
        <v>62</v>
      </c>
      <c r="D58" t="s">
        <v>6</v>
      </c>
      <c r="E58" t="s">
        <v>4</v>
      </c>
      <c r="F58" t="s">
        <v>5</v>
      </c>
      <c r="G58">
        <f t="shared" si="2"/>
        <v>181</v>
      </c>
      <c r="H58">
        <f>3+3+4</f>
        <v>10</v>
      </c>
      <c r="I58">
        <f>0+1+1</f>
        <v>2</v>
      </c>
      <c r="J58">
        <f>4+5+4</f>
        <v>13</v>
      </c>
      <c r="K58">
        <f>13+11+11</f>
        <v>35</v>
      </c>
      <c r="L58">
        <f t="shared" si="3"/>
        <v>60</v>
      </c>
    </row>
    <row r="59" spans="1:12" x14ac:dyDescent="0.25">
      <c r="A59">
        <v>58</v>
      </c>
      <c r="B59" t="s">
        <v>212</v>
      </c>
      <c r="C59" t="s">
        <v>87</v>
      </c>
      <c r="D59" t="s">
        <v>6</v>
      </c>
      <c r="E59" t="s">
        <v>4</v>
      </c>
      <c r="F59" t="s">
        <v>5</v>
      </c>
      <c r="G59">
        <f t="shared" si="2"/>
        <v>179</v>
      </c>
      <c r="H59">
        <f>6+3+3</f>
        <v>12</v>
      </c>
      <c r="I59">
        <f>1+0+2</f>
        <v>3</v>
      </c>
      <c r="J59">
        <f>1+2+4</f>
        <v>7</v>
      </c>
      <c r="K59">
        <f>12+16+11</f>
        <v>39</v>
      </c>
      <c r="L59">
        <f t="shared" si="3"/>
        <v>61</v>
      </c>
    </row>
  </sheetData>
  <sortState ref="B2:L59">
    <sortCondition descending="1" ref="G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G24" sqref="G24"/>
    </sheetView>
  </sheetViews>
  <sheetFormatPr defaultRowHeight="15" x14ac:dyDescent="0.25"/>
  <cols>
    <col min="1" max="1" width="2" bestFit="1" customWidth="1"/>
    <col min="2" max="2" width="14" bestFit="1" customWidth="1"/>
    <col min="3" max="3" width="28.85546875" customWidth="1"/>
    <col min="6" max="6" width="14.7109375" customWidth="1"/>
    <col min="8" max="12" width="0" hidden="1" customWidth="1"/>
  </cols>
  <sheetData>
    <row r="1" spans="1:12" x14ac:dyDescent="0.25">
      <c r="B1" s="2" t="s">
        <v>1</v>
      </c>
      <c r="C1" s="2" t="s">
        <v>2</v>
      </c>
      <c r="D1" s="2" t="s">
        <v>221</v>
      </c>
      <c r="E1" s="2" t="s">
        <v>222</v>
      </c>
      <c r="F1" s="2" t="s">
        <v>223</v>
      </c>
      <c r="G1" s="2" t="s">
        <v>224</v>
      </c>
      <c r="H1" s="3">
        <v>10</v>
      </c>
      <c r="I1" s="3">
        <v>8</v>
      </c>
      <c r="J1" s="3">
        <v>5</v>
      </c>
      <c r="K1" s="3">
        <v>0</v>
      </c>
      <c r="L1" s="3" t="s">
        <v>225</v>
      </c>
    </row>
    <row r="2" spans="1:12" x14ac:dyDescent="0.25">
      <c r="A2">
        <v>1</v>
      </c>
      <c r="B2" s="3" t="s">
        <v>173</v>
      </c>
      <c r="C2" s="3" t="s">
        <v>174</v>
      </c>
      <c r="D2" s="3" t="s">
        <v>6</v>
      </c>
      <c r="E2" s="3" t="s">
        <v>4</v>
      </c>
      <c r="F2" s="3" t="s">
        <v>18</v>
      </c>
      <c r="G2" s="3">
        <f t="shared" ref="G2:G9" si="0">+H2*10+I2*8+J2*5</f>
        <v>505</v>
      </c>
      <c r="H2" s="3">
        <f>15+11+12</f>
        <v>38</v>
      </c>
      <c r="I2" s="3">
        <f>3+5+2</f>
        <v>10</v>
      </c>
      <c r="J2" s="3">
        <f>2+2+5</f>
        <v>9</v>
      </c>
      <c r="K2" s="3">
        <f>1+2+2</f>
        <v>5</v>
      </c>
      <c r="L2" s="3">
        <f t="shared" ref="L2:L9" si="1">SUM(H2:K2)</f>
        <v>62</v>
      </c>
    </row>
    <row r="3" spans="1:12" x14ac:dyDescent="0.25">
      <c r="A3">
        <v>2</v>
      </c>
      <c r="B3" s="3" t="s">
        <v>8</v>
      </c>
      <c r="C3" s="3" t="s">
        <v>185</v>
      </c>
      <c r="D3" s="3" t="s">
        <v>6</v>
      </c>
      <c r="E3" s="3" t="s">
        <v>4</v>
      </c>
      <c r="F3" s="3" t="s">
        <v>18</v>
      </c>
      <c r="G3" s="3">
        <f t="shared" si="0"/>
        <v>463</v>
      </c>
      <c r="H3" s="3">
        <f>17+12+9</f>
        <v>38</v>
      </c>
      <c r="I3" s="3">
        <f>2+2+2</f>
        <v>6</v>
      </c>
      <c r="J3" s="3">
        <f>1+2+4</f>
        <v>7</v>
      </c>
      <c r="K3" s="3">
        <v>10</v>
      </c>
      <c r="L3" s="3">
        <f t="shared" si="1"/>
        <v>61</v>
      </c>
    </row>
    <row r="4" spans="1:12" x14ac:dyDescent="0.25">
      <c r="A4">
        <v>3</v>
      </c>
      <c r="B4" s="3" t="s">
        <v>107</v>
      </c>
      <c r="C4" s="3" t="s">
        <v>56</v>
      </c>
      <c r="D4" s="3" t="s">
        <v>6</v>
      </c>
      <c r="E4" s="3" t="s">
        <v>4</v>
      </c>
      <c r="F4" s="3" t="s">
        <v>18</v>
      </c>
      <c r="G4" s="3">
        <f t="shared" si="0"/>
        <v>454</v>
      </c>
      <c r="H4" s="3">
        <f>15+11+8</f>
        <v>34</v>
      </c>
      <c r="I4" s="3">
        <f>1+5+2</f>
        <v>8</v>
      </c>
      <c r="J4" s="3">
        <f>3+1+6</f>
        <v>10</v>
      </c>
      <c r="K4" s="3">
        <f>2+3+4</f>
        <v>9</v>
      </c>
      <c r="L4" s="3">
        <f t="shared" si="1"/>
        <v>61</v>
      </c>
    </row>
    <row r="5" spans="1:12" x14ac:dyDescent="0.25">
      <c r="A5">
        <v>4</v>
      </c>
      <c r="B5" t="s">
        <v>106</v>
      </c>
      <c r="C5" t="s">
        <v>102</v>
      </c>
      <c r="D5" t="s">
        <v>6</v>
      </c>
      <c r="E5" t="s">
        <v>4</v>
      </c>
      <c r="F5" t="s">
        <v>18</v>
      </c>
      <c r="G5">
        <f t="shared" si="0"/>
        <v>401</v>
      </c>
      <c r="H5">
        <f>10+6+13</f>
        <v>29</v>
      </c>
      <c r="I5">
        <f>4+2+1</f>
        <v>7</v>
      </c>
      <c r="J5">
        <f>3+5+3</f>
        <v>11</v>
      </c>
      <c r="K5">
        <f>4+8+4</f>
        <v>16</v>
      </c>
      <c r="L5">
        <f t="shared" si="1"/>
        <v>63</v>
      </c>
    </row>
    <row r="6" spans="1:12" x14ac:dyDescent="0.25">
      <c r="A6">
        <v>5</v>
      </c>
      <c r="B6" t="s">
        <v>140</v>
      </c>
      <c r="C6" t="s">
        <v>17</v>
      </c>
      <c r="D6" t="s">
        <v>6</v>
      </c>
      <c r="E6" t="s">
        <v>4</v>
      </c>
      <c r="F6" t="s">
        <v>18</v>
      </c>
      <c r="G6">
        <f t="shared" si="0"/>
        <v>273</v>
      </c>
      <c r="H6">
        <f>5+3+7</f>
        <v>15</v>
      </c>
      <c r="I6">
        <f>2+3+1</f>
        <v>6</v>
      </c>
      <c r="J6">
        <f>6+5+4</f>
        <v>15</v>
      </c>
      <c r="K6">
        <f>7+10+9</f>
        <v>26</v>
      </c>
      <c r="L6">
        <f t="shared" si="1"/>
        <v>62</v>
      </c>
    </row>
    <row r="7" spans="1:12" x14ac:dyDescent="0.25">
      <c r="A7">
        <v>6</v>
      </c>
      <c r="B7" t="s">
        <v>190</v>
      </c>
      <c r="C7" t="s">
        <v>67</v>
      </c>
      <c r="D7" t="s">
        <v>6</v>
      </c>
      <c r="E7" t="s">
        <v>4</v>
      </c>
      <c r="F7" t="s">
        <v>18</v>
      </c>
      <c r="G7">
        <f t="shared" si="0"/>
        <v>252</v>
      </c>
      <c r="H7">
        <f>4+5+5</f>
        <v>14</v>
      </c>
      <c r="I7">
        <f>3+3+3</f>
        <v>9</v>
      </c>
      <c r="J7">
        <f>3+3+2</f>
        <v>8</v>
      </c>
      <c r="K7">
        <f>10+9+10</f>
        <v>29</v>
      </c>
      <c r="L7">
        <f t="shared" si="1"/>
        <v>60</v>
      </c>
    </row>
    <row r="9" spans="1:12" x14ac:dyDescent="0.25">
      <c r="A9">
        <v>1</v>
      </c>
      <c r="B9" t="s">
        <v>79</v>
      </c>
      <c r="C9" t="s">
        <v>76</v>
      </c>
      <c r="D9" t="s">
        <v>6</v>
      </c>
      <c r="E9" t="s">
        <v>4</v>
      </c>
      <c r="F9" t="s">
        <v>83</v>
      </c>
      <c r="G9">
        <f t="shared" si="0"/>
        <v>246</v>
      </c>
      <c r="H9">
        <f>3+6+5</f>
        <v>14</v>
      </c>
      <c r="I9">
        <f>4+2+1</f>
        <v>7</v>
      </c>
      <c r="J9">
        <f>3+4+3</f>
        <v>10</v>
      </c>
      <c r="K9">
        <f>10+8+11</f>
        <v>29</v>
      </c>
      <c r="L9">
        <f t="shared" si="1"/>
        <v>60</v>
      </c>
    </row>
  </sheetData>
  <sortState ref="B2:L8">
    <sortCondition descending="1" ref="G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C10" sqref="C10"/>
    </sheetView>
  </sheetViews>
  <sheetFormatPr defaultRowHeight="15" x14ac:dyDescent="0.25"/>
  <cols>
    <col min="1" max="1" width="3" bestFit="1" customWidth="1"/>
    <col min="2" max="2" width="24.28515625" bestFit="1" customWidth="1"/>
    <col min="3" max="3" width="29.85546875" customWidth="1"/>
    <col min="8" max="12" width="0" hidden="1" customWidth="1"/>
  </cols>
  <sheetData>
    <row r="1" spans="1:12" x14ac:dyDescent="0.25">
      <c r="B1" s="2" t="s">
        <v>1</v>
      </c>
      <c r="C1" s="2" t="s">
        <v>2</v>
      </c>
      <c r="D1" s="2" t="s">
        <v>221</v>
      </c>
      <c r="E1" s="2" t="s">
        <v>222</v>
      </c>
      <c r="F1" s="2" t="s">
        <v>223</v>
      </c>
      <c r="G1" s="2" t="s">
        <v>224</v>
      </c>
      <c r="H1" s="3">
        <v>10</v>
      </c>
      <c r="I1" s="3">
        <v>8</v>
      </c>
      <c r="J1" s="3">
        <v>5</v>
      </c>
      <c r="K1" s="3">
        <v>0</v>
      </c>
      <c r="L1" s="3" t="s">
        <v>225</v>
      </c>
    </row>
    <row r="2" spans="1:12" x14ac:dyDescent="0.25">
      <c r="A2">
        <v>1</v>
      </c>
      <c r="B2" s="3" t="s">
        <v>16</v>
      </c>
      <c r="C2" s="3" t="s">
        <v>7</v>
      </c>
      <c r="D2" s="3" t="s">
        <v>6</v>
      </c>
      <c r="E2" s="3" t="s">
        <v>10</v>
      </c>
      <c r="F2" s="3" t="s">
        <v>5</v>
      </c>
      <c r="G2" s="3">
        <f t="shared" ref="G2:G16" si="0">+H2*10+I2*8+J2*5</f>
        <v>296</v>
      </c>
      <c r="H2" s="3">
        <f>7+5+3</f>
        <v>15</v>
      </c>
      <c r="I2" s="3">
        <f>3+3+1</f>
        <v>7</v>
      </c>
      <c r="J2" s="3">
        <f>2+7+9</f>
        <v>18</v>
      </c>
      <c r="K2" s="3">
        <f>8+5+7</f>
        <v>20</v>
      </c>
      <c r="L2" s="3">
        <f t="shared" ref="L2:L16" si="1">SUM(H2:K2)</f>
        <v>60</v>
      </c>
    </row>
    <row r="3" spans="1:12" x14ac:dyDescent="0.25">
      <c r="A3">
        <v>2</v>
      </c>
      <c r="B3" s="3" t="s">
        <v>35</v>
      </c>
      <c r="C3" s="3" t="s">
        <v>37</v>
      </c>
      <c r="D3" s="3" t="s">
        <v>6</v>
      </c>
      <c r="E3" s="3" t="s">
        <v>10</v>
      </c>
      <c r="F3" s="3" t="s">
        <v>5</v>
      </c>
      <c r="G3" s="3">
        <f t="shared" si="0"/>
        <v>295</v>
      </c>
      <c r="H3" s="3">
        <f>3+7+8</f>
        <v>18</v>
      </c>
      <c r="I3" s="3">
        <f>1+3+1</f>
        <v>5</v>
      </c>
      <c r="J3" s="3">
        <f>6+5+4</f>
        <v>15</v>
      </c>
      <c r="K3" s="3">
        <f>9+5+8</f>
        <v>22</v>
      </c>
      <c r="L3" s="3">
        <f t="shared" si="1"/>
        <v>60</v>
      </c>
    </row>
    <row r="4" spans="1:12" x14ac:dyDescent="0.25">
      <c r="A4">
        <v>3</v>
      </c>
      <c r="B4" s="3" t="s">
        <v>52</v>
      </c>
      <c r="C4" s="3" t="s">
        <v>55</v>
      </c>
      <c r="D4" s="3" t="s">
        <v>6</v>
      </c>
      <c r="E4" s="3" t="s">
        <v>10</v>
      </c>
      <c r="F4" s="3" t="s">
        <v>5</v>
      </c>
      <c r="G4" s="3">
        <f t="shared" si="0"/>
        <v>284</v>
      </c>
      <c r="H4" s="3">
        <f>4+3+8</f>
        <v>15</v>
      </c>
      <c r="I4" s="3">
        <f>0+1+2</f>
        <v>3</v>
      </c>
      <c r="J4" s="3">
        <f>10+8+4</f>
        <v>22</v>
      </c>
      <c r="K4" s="3">
        <f>6+8+7</f>
        <v>21</v>
      </c>
      <c r="L4" s="3">
        <f t="shared" si="1"/>
        <v>61</v>
      </c>
    </row>
    <row r="5" spans="1:12" x14ac:dyDescent="0.25">
      <c r="A5">
        <v>4</v>
      </c>
      <c r="B5" t="s">
        <v>151</v>
      </c>
      <c r="C5" t="s">
        <v>142</v>
      </c>
      <c r="D5" t="s">
        <v>6</v>
      </c>
      <c r="E5" t="s">
        <v>10</v>
      </c>
      <c r="F5" t="s">
        <v>5</v>
      </c>
      <c r="G5">
        <f t="shared" si="0"/>
        <v>282</v>
      </c>
      <c r="H5">
        <f>3+4+8</f>
        <v>15</v>
      </c>
      <c r="I5">
        <f>1+2+1</f>
        <v>4</v>
      </c>
      <c r="J5">
        <f>7+7+6</f>
        <v>20</v>
      </c>
      <c r="K5">
        <f>9+8+5</f>
        <v>22</v>
      </c>
      <c r="L5">
        <f t="shared" si="1"/>
        <v>61</v>
      </c>
    </row>
    <row r="6" spans="1:12" x14ac:dyDescent="0.25">
      <c r="A6">
        <v>5</v>
      </c>
      <c r="B6" t="s">
        <v>177</v>
      </c>
      <c r="C6" t="s">
        <v>174</v>
      </c>
      <c r="D6" t="s">
        <v>6</v>
      </c>
      <c r="E6" t="s">
        <v>10</v>
      </c>
      <c r="F6" t="s">
        <v>5</v>
      </c>
      <c r="G6">
        <f t="shared" si="0"/>
        <v>268</v>
      </c>
      <c r="H6">
        <f>5+4+2</f>
        <v>11</v>
      </c>
      <c r="I6">
        <f>2+0+4</f>
        <v>6</v>
      </c>
      <c r="J6">
        <f>8+10+4</f>
        <v>22</v>
      </c>
      <c r="K6">
        <f>5+6+10</f>
        <v>21</v>
      </c>
      <c r="L6">
        <f t="shared" si="1"/>
        <v>60</v>
      </c>
    </row>
    <row r="7" spans="1:12" x14ac:dyDescent="0.25">
      <c r="A7">
        <v>6</v>
      </c>
      <c r="B7" t="s">
        <v>157</v>
      </c>
      <c r="C7" t="s">
        <v>17</v>
      </c>
      <c r="D7" t="s">
        <v>6</v>
      </c>
      <c r="E7" t="s">
        <v>10</v>
      </c>
      <c r="F7" t="s">
        <v>5</v>
      </c>
      <c r="G7">
        <f t="shared" si="0"/>
        <v>251</v>
      </c>
      <c r="H7">
        <f>6+4+4</f>
        <v>14</v>
      </c>
      <c r="I7">
        <f>2+4+1</f>
        <v>7</v>
      </c>
      <c r="J7">
        <f>6+1+4</f>
        <v>11</v>
      </c>
      <c r="K7">
        <f>8+10+10</f>
        <v>28</v>
      </c>
      <c r="L7">
        <f t="shared" si="1"/>
        <v>60</v>
      </c>
    </row>
    <row r="8" spans="1:12" x14ac:dyDescent="0.25">
      <c r="A8">
        <v>7</v>
      </c>
      <c r="B8" t="s">
        <v>213</v>
      </c>
      <c r="C8" t="s">
        <v>87</v>
      </c>
      <c r="D8" t="s">
        <v>6</v>
      </c>
      <c r="E8" t="s">
        <v>10</v>
      </c>
      <c r="F8" t="s">
        <v>5</v>
      </c>
      <c r="G8">
        <f t="shared" si="0"/>
        <v>232</v>
      </c>
      <c r="H8">
        <f>3+2+7</f>
        <v>12</v>
      </c>
      <c r="I8">
        <f>2+0+2</f>
        <v>4</v>
      </c>
      <c r="J8">
        <f>3+5+8</f>
        <v>16</v>
      </c>
      <c r="K8">
        <f>12+13+3</f>
        <v>28</v>
      </c>
      <c r="L8">
        <f t="shared" si="1"/>
        <v>60</v>
      </c>
    </row>
    <row r="9" spans="1:12" x14ac:dyDescent="0.25">
      <c r="A9">
        <v>8</v>
      </c>
      <c r="B9" t="s">
        <v>116</v>
      </c>
      <c r="C9" t="s">
        <v>227</v>
      </c>
      <c r="D9" t="s">
        <v>6</v>
      </c>
      <c r="E9" t="s">
        <v>10</v>
      </c>
      <c r="F9" t="s">
        <v>5</v>
      </c>
      <c r="G9">
        <f t="shared" si="0"/>
        <v>218</v>
      </c>
      <c r="H9">
        <f>3+5+5</f>
        <v>13</v>
      </c>
      <c r="I9">
        <f>1+0+0</f>
        <v>1</v>
      </c>
      <c r="J9">
        <f>5+7+4</f>
        <v>16</v>
      </c>
      <c r="K9">
        <f>11+8+11</f>
        <v>30</v>
      </c>
      <c r="L9">
        <f t="shared" si="1"/>
        <v>60</v>
      </c>
    </row>
    <row r="10" spans="1:12" x14ac:dyDescent="0.25">
      <c r="A10">
        <v>9</v>
      </c>
      <c r="B10" t="s">
        <v>110</v>
      </c>
      <c r="C10" t="s">
        <v>94</v>
      </c>
      <c r="D10" t="s">
        <v>6</v>
      </c>
      <c r="E10" t="s">
        <v>10</v>
      </c>
      <c r="F10" t="s">
        <v>5</v>
      </c>
      <c r="G10">
        <f t="shared" si="0"/>
        <v>217</v>
      </c>
      <c r="H10">
        <f>1+3+6</f>
        <v>10</v>
      </c>
      <c r="I10">
        <f>2+1+1</f>
        <v>4</v>
      </c>
      <c r="J10">
        <f>6+4+7</f>
        <v>17</v>
      </c>
      <c r="K10">
        <f>11+12+6</f>
        <v>29</v>
      </c>
      <c r="L10">
        <f t="shared" si="1"/>
        <v>60</v>
      </c>
    </row>
    <row r="11" spans="1:12" x14ac:dyDescent="0.25">
      <c r="A11">
        <v>10</v>
      </c>
      <c r="B11" t="s">
        <v>176</v>
      </c>
      <c r="C11" t="s">
        <v>174</v>
      </c>
      <c r="D11" t="s">
        <v>6</v>
      </c>
      <c r="E11" t="s">
        <v>10</v>
      </c>
      <c r="F11" t="s">
        <v>5</v>
      </c>
      <c r="G11">
        <f t="shared" si="0"/>
        <v>216</v>
      </c>
      <c r="H11">
        <f>2+4+5</f>
        <v>11</v>
      </c>
      <c r="I11">
        <f>2+0+0</f>
        <v>2</v>
      </c>
      <c r="J11">
        <f>4+8+6</f>
        <v>18</v>
      </c>
      <c r="K11">
        <f>12+8+9</f>
        <v>29</v>
      </c>
      <c r="L11">
        <f t="shared" si="1"/>
        <v>60</v>
      </c>
    </row>
    <row r="12" spans="1:12" x14ac:dyDescent="0.25">
      <c r="A12">
        <v>11</v>
      </c>
      <c r="B12" t="s">
        <v>53</v>
      </c>
      <c r="C12" t="s">
        <v>55</v>
      </c>
      <c r="D12" t="s">
        <v>6</v>
      </c>
      <c r="E12" t="s">
        <v>10</v>
      </c>
      <c r="F12" t="s">
        <v>5</v>
      </c>
      <c r="G12">
        <f t="shared" si="0"/>
        <v>204</v>
      </c>
      <c r="H12">
        <f>4+3+4</f>
        <v>11</v>
      </c>
      <c r="I12">
        <f>2+0+1</f>
        <v>3</v>
      </c>
      <c r="J12">
        <f>3+8+3</f>
        <v>14</v>
      </c>
      <c r="K12">
        <f>11+9+12</f>
        <v>32</v>
      </c>
      <c r="L12">
        <f t="shared" si="1"/>
        <v>60</v>
      </c>
    </row>
    <row r="13" spans="1:12" x14ac:dyDescent="0.25">
      <c r="A13">
        <v>12</v>
      </c>
      <c r="B13" t="s">
        <v>93</v>
      </c>
      <c r="C13" t="s">
        <v>87</v>
      </c>
      <c r="D13" t="s">
        <v>6</v>
      </c>
      <c r="E13" t="s">
        <v>10</v>
      </c>
      <c r="F13" t="s">
        <v>5</v>
      </c>
      <c r="G13">
        <f t="shared" si="0"/>
        <v>165</v>
      </c>
      <c r="H13">
        <f>2+1+6</f>
        <v>9</v>
      </c>
      <c r="I13">
        <f>0+0+0</f>
        <v>0</v>
      </c>
      <c r="J13">
        <f>6+5+4</f>
        <v>15</v>
      </c>
      <c r="K13">
        <f>12+14+10</f>
        <v>36</v>
      </c>
      <c r="L13">
        <f t="shared" si="1"/>
        <v>60</v>
      </c>
    </row>
    <row r="14" spans="1:12" x14ac:dyDescent="0.25">
      <c r="A14">
        <v>13</v>
      </c>
      <c r="B14" t="s">
        <v>148</v>
      </c>
      <c r="C14" t="s">
        <v>142</v>
      </c>
      <c r="D14" t="s">
        <v>6</v>
      </c>
      <c r="E14" t="s">
        <v>10</v>
      </c>
      <c r="F14" t="s">
        <v>5</v>
      </c>
      <c r="G14">
        <f t="shared" si="0"/>
        <v>154</v>
      </c>
      <c r="H14">
        <f>2+3+2</f>
        <v>7</v>
      </c>
      <c r="I14">
        <f>0+2+1</f>
        <v>3</v>
      </c>
      <c r="J14">
        <f>6+3+3</f>
        <v>12</v>
      </c>
      <c r="K14">
        <f>12+12+14</f>
        <v>38</v>
      </c>
      <c r="L14">
        <f t="shared" si="1"/>
        <v>60</v>
      </c>
    </row>
    <row r="15" spans="1:12" x14ac:dyDescent="0.25">
      <c r="A15">
        <v>14</v>
      </c>
      <c r="B15" t="s">
        <v>45</v>
      </c>
      <c r="C15" t="s">
        <v>39</v>
      </c>
      <c r="D15" t="s">
        <v>6</v>
      </c>
      <c r="E15" t="s">
        <v>10</v>
      </c>
      <c r="F15" t="s">
        <v>5</v>
      </c>
      <c r="G15">
        <f t="shared" si="0"/>
        <v>120</v>
      </c>
      <c r="H15">
        <f>3+2+1</f>
        <v>6</v>
      </c>
      <c r="I15">
        <v>0</v>
      </c>
      <c r="J15">
        <f>2+6+4</f>
        <v>12</v>
      </c>
      <c r="K15">
        <f>15+12+15</f>
        <v>42</v>
      </c>
      <c r="L15">
        <f t="shared" si="1"/>
        <v>60</v>
      </c>
    </row>
    <row r="16" spans="1:12" x14ac:dyDescent="0.25">
      <c r="A16">
        <v>15</v>
      </c>
      <c r="B16" t="s">
        <v>80</v>
      </c>
      <c r="C16" t="s">
        <v>76</v>
      </c>
      <c r="D16" t="s">
        <v>6</v>
      </c>
      <c r="E16" t="s">
        <v>10</v>
      </c>
      <c r="F16" t="s">
        <v>5</v>
      </c>
      <c r="G16">
        <f t="shared" si="0"/>
        <v>90</v>
      </c>
      <c r="H16">
        <f>3+2+2</f>
        <v>7</v>
      </c>
      <c r="I16">
        <v>0</v>
      </c>
      <c r="J16">
        <f>2+0+2</f>
        <v>4</v>
      </c>
      <c r="K16">
        <f>15+18+16</f>
        <v>49</v>
      </c>
      <c r="L16">
        <f t="shared" si="1"/>
        <v>60</v>
      </c>
    </row>
  </sheetData>
  <sortState ref="B2:L16">
    <sortCondition descending="1" ref="G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G1" sqref="G1:K1048576"/>
    </sheetView>
  </sheetViews>
  <sheetFormatPr defaultRowHeight="15" x14ac:dyDescent="0.25"/>
  <cols>
    <col min="1" max="1" width="20.28515625" customWidth="1"/>
    <col min="2" max="2" width="25.7109375" customWidth="1"/>
    <col min="5" max="5" width="16.7109375" customWidth="1"/>
    <col min="7" max="11" width="0" hidden="1" customWidth="1"/>
  </cols>
  <sheetData>
    <row r="1" spans="1:11" x14ac:dyDescent="0.25">
      <c r="A1" s="1" t="s">
        <v>1</v>
      </c>
      <c r="B1" s="1" t="s">
        <v>2</v>
      </c>
      <c r="C1" s="1" t="s">
        <v>221</v>
      </c>
      <c r="D1" s="1" t="s">
        <v>222</v>
      </c>
      <c r="E1" s="1" t="s">
        <v>223</v>
      </c>
      <c r="F1" s="1" t="s">
        <v>224</v>
      </c>
      <c r="G1">
        <v>10</v>
      </c>
      <c r="H1">
        <v>8</v>
      </c>
      <c r="I1">
        <v>5</v>
      </c>
      <c r="J1">
        <v>0</v>
      </c>
      <c r="K1" t="s">
        <v>225</v>
      </c>
    </row>
    <row r="2" spans="1:11" x14ac:dyDescent="0.25">
      <c r="A2" t="s">
        <v>105</v>
      </c>
      <c r="B2" t="s">
        <v>102</v>
      </c>
      <c r="C2" t="s">
        <v>6</v>
      </c>
      <c r="D2" t="s">
        <v>10</v>
      </c>
      <c r="E2" t="s">
        <v>18</v>
      </c>
      <c r="F2">
        <f>+G2*10+H2*8+I2*5</f>
        <v>378</v>
      </c>
      <c r="G2">
        <f>7+9+7</f>
        <v>23</v>
      </c>
      <c r="H2">
        <f>4+3+4</f>
        <v>11</v>
      </c>
      <c r="I2">
        <f>2+6+4</f>
        <v>12</v>
      </c>
      <c r="J2">
        <f>7+3+6</f>
        <v>16</v>
      </c>
      <c r="K2">
        <f>SUM(G2:J2)</f>
        <v>62</v>
      </c>
    </row>
    <row r="3" spans="1:11" x14ac:dyDescent="0.25">
      <c r="A3" t="s">
        <v>9</v>
      </c>
      <c r="B3" t="s">
        <v>7</v>
      </c>
      <c r="C3" t="s">
        <v>6</v>
      </c>
      <c r="D3" t="s">
        <v>10</v>
      </c>
      <c r="E3" t="s">
        <v>18</v>
      </c>
      <c r="F3">
        <f>+G3*10+H3*8+I3*5</f>
        <v>302</v>
      </c>
      <c r="G3">
        <f>5+3+7</f>
        <v>15</v>
      </c>
      <c r="H3">
        <f>2+3+4</f>
        <v>9</v>
      </c>
      <c r="I3">
        <f>6+6+4</f>
        <v>16</v>
      </c>
      <c r="J3">
        <f>7+8+5</f>
        <v>20</v>
      </c>
      <c r="K3">
        <f>SUM(G3:J3)</f>
        <v>60</v>
      </c>
    </row>
    <row r="4" spans="1:11" x14ac:dyDescent="0.25">
      <c r="A4" t="s">
        <v>86</v>
      </c>
      <c r="B4" t="s">
        <v>183</v>
      </c>
      <c r="C4" t="s">
        <v>6</v>
      </c>
      <c r="D4" t="s">
        <v>10</v>
      </c>
      <c r="E4" t="s">
        <v>18</v>
      </c>
      <c r="F4">
        <f>+G4*10+H4*8+I4*5</f>
        <v>200</v>
      </c>
      <c r="G4">
        <f>5+5+1</f>
        <v>11</v>
      </c>
      <c r="H4">
        <f>3+1+1</f>
        <v>5</v>
      </c>
      <c r="I4">
        <f>3+3+4</f>
        <v>10</v>
      </c>
      <c r="J4">
        <f>9+12+14</f>
        <v>35</v>
      </c>
      <c r="K4">
        <f>SUM(G4:J4)</f>
        <v>61</v>
      </c>
    </row>
    <row r="5" spans="1:11" x14ac:dyDescent="0.25">
      <c r="A5" t="s">
        <v>69</v>
      </c>
      <c r="B5" t="s">
        <v>67</v>
      </c>
      <c r="C5" t="s">
        <v>6</v>
      </c>
      <c r="D5" t="s">
        <v>10</v>
      </c>
      <c r="E5" t="s">
        <v>18</v>
      </c>
      <c r="F5">
        <f>+G5*10+H5*8+I5*5</f>
        <v>197</v>
      </c>
      <c r="G5">
        <f>3+4+3</f>
        <v>10</v>
      </c>
      <c r="H5">
        <f>2+2+0</f>
        <v>4</v>
      </c>
      <c r="I5">
        <f>5+5+3</f>
        <v>13</v>
      </c>
      <c r="J5">
        <f>10+9+14</f>
        <v>33</v>
      </c>
      <c r="K5">
        <f>SUM(G5:J5)</f>
        <v>60</v>
      </c>
    </row>
  </sheetData>
  <sortState ref="A2:K5">
    <sortCondition descending="1" ref="F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F10" sqref="F10"/>
    </sheetView>
  </sheetViews>
  <sheetFormatPr defaultRowHeight="15" x14ac:dyDescent="0.25"/>
  <cols>
    <col min="1" max="1" width="2" bestFit="1" customWidth="1"/>
    <col min="2" max="2" width="21.140625" bestFit="1" customWidth="1"/>
    <col min="3" max="3" width="23.5703125" customWidth="1"/>
    <col min="8" max="12" width="0" hidden="1" customWidth="1"/>
  </cols>
  <sheetData>
    <row r="1" spans="1:12" x14ac:dyDescent="0.25">
      <c r="B1" s="2" t="s">
        <v>1</v>
      </c>
      <c r="C1" s="2" t="s">
        <v>2</v>
      </c>
      <c r="D1" s="2" t="s">
        <v>221</v>
      </c>
      <c r="E1" s="2" t="s">
        <v>222</v>
      </c>
      <c r="F1" s="2" t="s">
        <v>223</v>
      </c>
      <c r="G1" s="2" t="s">
        <v>224</v>
      </c>
      <c r="H1" s="3">
        <v>10</v>
      </c>
      <c r="I1" s="3">
        <v>8</v>
      </c>
      <c r="J1" s="3">
        <v>5</v>
      </c>
      <c r="K1" s="3">
        <v>0</v>
      </c>
      <c r="L1" s="3" t="s">
        <v>225</v>
      </c>
    </row>
    <row r="2" spans="1:12" x14ac:dyDescent="0.25">
      <c r="A2">
        <v>1</v>
      </c>
      <c r="B2" s="3" t="s">
        <v>188</v>
      </c>
      <c r="C2" s="3" t="s">
        <v>189</v>
      </c>
      <c r="D2" s="3" t="s">
        <v>14</v>
      </c>
      <c r="E2" s="3" t="s">
        <v>13</v>
      </c>
      <c r="F2" s="3" t="s">
        <v>5</v>
      </c>
      <c r="G2" s="3">
        <f t="shared" ref="G2:G8" si="0">+H2*10+I2*8+J2*5</f>
        <v>362</v>
      </c>
      <c r="H2" s="3">
        <f>7+10+6</f>
        <v>23</v>
      </c>
      <c r="I2" s="3">
        <f>4+3+2</f>
        <v>9</v>
      </c>
      <c r="J2" s="3">
        <f>3+3+6</f>
        <v>12</v>
      </c>
      <c r="K2" s="3">
        <f>6+5+7</f>
        <v>18</v>
      </c>
      <c r="L2" s="3">
        <f t="shared" ref="L2:L8" si="1">SUM(H2:K2)</f>
        <v>62</v>
      </c>
    </row>
    <row r="3" spans="1:12" x14ac:dyDescent="0.25">
      <c r="A3">
        <v>2</v>
      </c>
      <c r="B3" s="3" t="s">
        <v>25</v>
      </c>
      <c r="C3" s="3" t="s">
        <v>208</v>
      </c>
      <c r="D3" s="3" t="s">
        <v>14</v>
      </c>
      <c r="E3" s="3" t="s">
        <v>13</v>
      </c>
      <c r="F3" s="3" t="s">
        <v>5</v>
      </c>
      <c r="G3" s="3">
        <f t="shared" si="0"/>
        <v>338</v>
      </c>
      <c r="H3" s="3">
        <f>10+10+6</f>
        <v>26</v>
      </c>
      <c r="I3" s="3">
        <f>0+1+0</f>
        <v>1</v>
      </c>
      <c r="J3" s="3">
        <f>3+3+8</f>
        <v>14</v>
      </c>
      <c r="K3" s="3">
        <f>7+6+6</f>
        <v>19</v>
      </c>
      <c r="L3" s="3">
        <f t="shared" si="1"/>
        <v>60</v>
      </c>
    </row>
    <row r="4" spans="1:12" x14ac:dyDescent="0.25">
      <c r="A4">
        <v>3</v>
      </c>
      <c r="B4" s="3" t="s">
        <v>44</v>
      </c>
      <c r="C4" s="3" t="s">
        <v>39</v>
      </c>
      <c r="D4" s="3" t="s">
        <v>14</v>
      </c>
      <c r="E4" s="3" t="s">
        <v>13</v>
      </c>
      <c r="F4" s="3" t="s">
        <v>5</v>
      </c>
      <c r="G4" s="3">
        <f t="shared" si="0"/>
        <v>249</v>
      </c>
      <c r="H4" s="3">
        <f>5+3+7</f>
        <v>15</v>
      </c>
      <c r="I4" s="3">
        <f>3+0+0</f>
        <v>3</v>
      </c>
      <c r="J4" s="3">
        <f>5+7+3</f>
        <v>15</v>
      </c>
      <c r="K4" s="3">
        <f>8+9+10</f>
        <v>27</v>
      </c>
      <c r="L4" s="3">
        <f t="shared" si="1"/>
        <v>60</v>
      </c>
    </row>
    <row r="5" spans="1:12" x14ac:dyDescent="0.25">
      <c r="A5">
        <v>4</v>
      </c>
      <c r="B5" t="s">
        <v>198</v>
      </c>
      <c r="C5" t="s">
        <v>56</v>
      </c>
      <c r="D5" t="s">
        <v>14</v>
      </c>
      <c r="E5" t="s">
        <v>13</v>
      </c>
      <c r="F5" t="s">
        <v>5</v>
      </c>
      <c r="G5">
        <f t="shared" si="0"/>
        <v>240</v>
      </c>
      <c r="H5">
        <f>6+3+3</f>
        <v>12</v>
      </c>
      <c r="I5">
        <f>1+3+1</f>
        <v>5</v>
      </c>
      <c r="J5">
        <f>4+6+6</f>
        <v>16</v>
      </c>
      <c r="K5">
        <f>10+8+9</f>
        <v>27</v>
      </c>
      <c r="L5">
        <f t="shared" si="1"/>
        <v>60</v>
      </c>
    </row>
    <row r="6" spans="1:12" x14ac:dyDescent="0.25">
      <c r="A6">
        <v>5</v>
      </c>
      <c r="B6" t="s">
        <v>15</v>
      </c>
      <c r="C6" t="s">
        <v>7</v>
      </c>
      <c r="D6" t="s">
        <v>14</v>
      </c>
      <c r="E6" t="s">
        <v>13</v>
      </c>
      <c r="F6" t="s">
        <v>5</v>
      </c>
      <c r="G6">
        <f t="shared" si="0"/>
        <v>209</v>
      </c>
      <c r="H6">
        <f>4+0+6</f>
        <v>10</v>
      </c>
      <c r="I6">
        <f>0+1+2</f>
        <v>3</v>
      </c>
      <c r="J6">
        <f>5+7+5</f>
        <v>17</v>
      </c>
      <c r="K6">
        <f>11+12+7</f>
        <v>30</v>
      </c>
      <c r="L6">
        <f t="shared" si="1"/>
        <v>60</v>
      </c>
    </row>
    <row r="7" spans="1:12" x14ac:dyDescent="0.25">
      <c r="A7">
        <v>6</v>
      </c>
      <c r="B7" t="s">
        <v>144</v>
      </c>
      <c r="C7" t="s">
        <v>142</v>
      </c>
      <c r="D7" t="s">
        <v>14</v>
      </c>
      <c r="E7" t="s">
        <v>13</v>
      </c>
      <c r="F7" t="s">
        <v>5</v>
      </c>
      <c r="G7">
        <f t="shared" si="0"/>
        <v>180</v>
      </c>
      <c r="H7">
        <f>4+3+2</f>
        <v>9</v>
      </c>
      <c r="I7">
        <f>2+1+2</f>
        <v>5</v>
      </c>
      <c r="J7">
        <f>1+6+3</f>
        <v>10</v>
      </c>
      <c r="K7">
        <f>13+10+13</f>
        <v>36</v>
      </c>
      <c r="L7">
        <f t="shared" si="1"/>
        <v>60</v>
      </c>
    </row>
    <row r="8" spans="1:12" x14ac:dyDescent="0.25">
      <c r="A8">
        <v>7</v>
      </c>
      <c r="B8" t="s">
        <v>218</v>
      </c>
      <c r="C8" t="s">
        <v>219</v>
      </c>
      <c r="D8" t="s">
        <v>14</v>
      </c>
      <c r="E8" t="s">
        <v>13</v>
      </c>
      <c r="F8" t="s">
        <v>5</v>
      </c>
      <c r="G8">
        <f t="shared" si="0"/>
        <v>166</v>
      </c>
      <c r="H8">
        <f>2+5+2</f>
        <v>9</v>
      </c>
      <c r="I8">
        <f>1+0+1</f>
        <v>2</v>
      </c>
      <c r="J8">
        <f>2+6+4</f>
        <v>12</v>
      </c>
      <c r="K8">
        <f>15+9+13</f>
        <v>37</v>
      </c>
      <c r="L8">
        <f t="shared" si="1"/>
        <v>60</v>
      </c>
    </row>
  </sheetData>
  <sortState ref="B2:L8">
    <sortCondition descending="1" ref="G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G1" sqref="G1:K1048576"/>
    </sheetView>
  </sheetViews>
  <sheetFormatPr defaultRowHeight="15" x14ac:dyDescent="0.25"/>
  <cols>
    <col min="1" max="1" width="16.7109375" customWidth="1"/>
    <col min="2" max="2" width="26.7109375" customWidth="1"/>
    <col min="7" max="11" width="0" hidden="1" customWidth="1"/>
  </cols>
  <sheetData>
    <row r="1" spans="1:11" x14ac:dyDescent="0.25">
      <c r="A1" s="1" t="s">
        <v>1</v>
      </c>
      <c r="B1" s="1" t="s">
        <v>2</v>
      </c>
      <c r="C1" s="1" t="s">
        <v>221</v>
      </c>
      <c r="D1" s="1" t="s">
        <v>222</v>
      </c>
      <c r="E1" s="1" t="s">
        <v>223</v>
      </c>
      <c r="F1" s="1" t="s">
        <v>224</v>
      </c>
      <c r="G1">
        <v>10</v>
      </c>
      <c r="H1">
        <v>8</v>
      </c>
      <c r="I1">
        <v>5</v>
      </c>
      <c r="J1">
        <v>0</v>
      </c>
      <c r="K1" t="s">
        <v>225</v>
      </c>
    </row>
    <row r="2" spans="1:11" x14ac:dyDescent="0.25">
      <c r="A2" t="s">
        <v>138</v>
      </c>
      <c r="B2" t="s">
        <v>139</v>
      </c>
      <c r="C2" t="s">
        <v>14</v>
      </c>
      <c r="D2" t="s">
        <v>19</v>
      </c>
      <c r="E2" t="s">
        <v>5</v>
      </c>
      <c r="F2">
        <f>+G2*10+H2*8+I2*5</f>
        <v>291</v>
      </c>
      <c r="G2">
        <f>5+5+6</f>
        <v>16</v>
      </c>
      <c r="H2">
        <f>3+2+2</f>
        <v>7</v>
      </c>
      <c r="I2">
        <f>4+5+6</f>
        <v>15</v>
      </c>
      <c r="J2">
        <f>8+8+6</f>
        <v>22</v>
      </c>
      <c r="K2">
        <f>SUM(G2:J2)</f>
        <v>60</v>
      </c>
    </row>
    <row r="3" spans="1:11" x14ac:dyDescent="0.25">
      <c r="A3" t="s">
        <v>146</v>
      </c>
      <c r="B3" t="s">
        <v>142</v>
      </c>
      <c r="C3" t="s">
        <v>14</v>
      </c>
      <c r="D3" t="s">
        <v>19</v>
      </c>
      <c r="E3" t="s">
        <v>5</v>
      </c>
      <c r="F3">
        <f>+G3*10+H3*8+I3*5</f>
        <v>291</v>
      </c>
      <c r="G3">
        <f>6+8+6</f>
        <v>20</v>
      </c>
      <c r="H3">
        <f>1+0+1</f>
        <v>2</v>
      </c>
      <c r="I3">
        <f>4+7+4</f>
        <v>15</v>
      </c>
      <c r="J3">
        <f>9+6+9</f>
        <v>24</v>
      </c>
      <c r="K3">
        <f>SUM(G3:J3)</f>
        <v>61</v>
      </c>
    </row>
    <row r="4" spans="1:11" x14ac:dyDescent="0.25">
      <c r="A4" t="s">
        <v>60</v>
      </c>
      <c r="B4" t="s">
        <v>56</v>
      </c>
      <c r="C4" t="s">
        <v>14</v>
      </c>
      <c r="D4" t="s">
        <v>19</v>
      </c>
      <c r="E4" t="s">
        <v>5</v>
      </c>
      <c r="F4">
        <f>+G4*10+H4*8+I4*5</f>
        <v>216</v>
      </c>
      <c r="G4">
        <f>3+3+3</f>
        <v>9</v>
      </c>
      <c r="H4">
        <f>2+2+3</f>
        <v>7</v>
      </c>
      <c r="I4">
        <f>5+5+4</f>
        <v>14</v>
      </c>
      <c r="J4">
        <f>10+10+10</f>
        <v>30</v>
      </c>
      <c r="K4">
        <f>SUM(G4:J4)</f>
        <v>60</v>
      </c>
    </row>
  </sheetData>
  <sortState ref="A2:K4">
    <sortCondition descending="1"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Szenior f</vt:lpstr>
      <vt:lpstr>Szenior f v</vt:lpstr>
      <vt:lpstr>Szenior n</vt:lpstr>
      <vt:lpstr>Felnőtt f</vt:lpstr>
      <vt:lpstr>Felnőtt f v, l.</vt:lpstr>
      <vt:lpstr>Felnőtt n</vt:lpstr>
      <vt:lpstr>Felnőtt n v</vt:lpstr>
      <vt:lpstr>Ifi f</vt:lpstr>
      <vt:lpstr>Ifi l</vt:lpstr>
      <vt:lpstr>gyerek f v</vt:lpstr>
      <vt:lpstr>gyerek f</vt:lpstr>
      <vt:lpstr>gyerek l</vt:lpstr>
      <vt:lpstr>gyerek l v</vt:lpstr>
      <vt:lpstr>mini f</vt:lpstr>
      <vt:lpstr>mini 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Kántor Andrea</dc:creator>
  <cp:lastModifiedBy>Kántor Andrea</cp:lastModifiedBy>
  <cp:lastPrinted>2015-05-13T13:10:14Z</cp:lastPrinted>
  <dcterms:created xsi:type="dcterms:W3CDTF">2015-04-29T06:46:02Z</dcterms:created>
  <dcterms:modified xsi:type="dcterms:W3CDTF">2015-05-17T08:53:28Z</dcterms:modified>
</cp:coreProperties>
</file>